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1\ZARZĄDZENIA\Zarządzenie Nr 65 z 4 listopada 2021-zmiana planu\Do publikacji\"/>
    </mc:Choice>
  </mc:AlternateContent>
  <xr:revisionPtr revIDLastSave="0" documentId="13_ncr:1_{C07C6AB0-0ECC-4D34-911E-EC9D06E46B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25" r:id="rId1"/>
    <sheet name="Załącznik Nr 2" sheetId="26" r:id="rId2"/>
    <sheet name="Załączniki Nr 3" sheetId="27" r:id="rId3"/>
  </sheets>
  <definedNames>
    <definedName name="_xlnm.Print_Area" localSheetId="0">'Załącznik Nr 1'!$A$1:$M$23</definedName>
    <definedName name="_xlnm.Print_Area" localSheetId="1">'Załącznik Nr 2'!$A$1:$N$56</definedName>
    <definedName name="_xlnm.Print_Area" localSheetId="2">'Załączniki Nr 3'!$A$1:$V$29</definedName>
    <definedName name="_xlnm.Print_Titles" localSheetId="0">'Załącznik Nr 1'!$4:$5</definedName>
    <definedName name="_xlnm.Print_Titles" localSheetId="1">'Załącznik Nr 2'!$4:$5</definedName>
    <definedName name="_xlnm.Print_Titles" localSheetId="2">'Załączniki Nr 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4" i="27" l="1"/>
  <c r="U23" i="27"/>
  <c r="U12" i="27"/>
  <c r="U11" i="27"/>
  <c r="U6" i="27"/>
  <c r="U9" i="27" l="1"/>
  <c r="U21" i="27"/>
  <c r="U17" i="27" s="1"/>
  <c r="U16" i="27" s="1"/>
  <c r="U27" i="27" l="1"/>
  <c r="J9" i="26" l="1"/>
  <c r="G9" i="26"/>
  <c r="K9" i="26"/>
  <c r="J12" i="26"/>
  <c r="K12" i="26"/>
  <c r="K19" i="25"/>
  <c r="J19" i="25"/>
  <c r="L52" i="26"/>
  <c r="L51" i="26"/>
  <c r="D52" i="26"/>
  <c r="D51" i="26"/>
  <c r="J17" i="26"/>
  <c r="D17" i="26"/>
  <c r="J28" i="26"/>
  <c r="J36" i="26"/>
  <c r="K18" i="26"/>
  <c r="J18" i="26"/>
  <c r="G18" i="26"/>
  <c r="K14" i="26" l="1"/>
  <c r="J14" i="26"/>
  <c r="D14" i="26"/>
  <c r="K21" i="25"/>
  <c r="D21" i="25"/>
  <c r="D23" i="26" l="1"/>
  <c r="K23" i="26"/>
  <c r="J26" i="26"/>
  <c r="G26" i="26"/>
  <c r="G28" i="26"/>
  <c r="J38" i="26"/>
  <c r="K17" i="25"/>
  <c r="J17" i="25"/>
  <c r="D17" i="25"/>
  <c r="K10" i="25"/>
  <c r="J10" i="25"/>
  <c r="D10" i="25"/>
  <c r="D9" i="25"/>
  <c r="J9" i="25"/>
  <c r="D9" i="26"/>
  <c r="D8" i="25"/>
  <c r="D7" i="25"/>
  <c r="K8" i="25"/>
  <c r="F7" i="25"/>
  <c r="H49" i="26"/>
  <c r="F49" i="26"/>
  <c r="H44" i="26"/>
  <c r="F44" i="26"/>
  <c r="H46" i="26"/>
  <c r="F46" i="26"/>
  <c r="J16" i="26" l="1"/>
  <c r="K13" i="25"/>
  <c r="H47" i="26"/>
  <c r="F47" i="26"/>
  <c r="H41" i="26"/>
  <c r="F41" i="26"/>
  <c r="J14" i="25"/>
  <c r="D14" i="25"/>
  <c r="D13" i="25"/>
  <c r="K12" i="25"/>
  <c r="J12" i="25"/>
  <c r="D12" i="25"/>
  <c r="J20" i="26"/>
  <c r="D20" i="26"/>
  <c r="J15" i="26"/>
  <c r="D15" i="26"/>
  <c r="C6" i="25" l="1"/>
  <c r="K7" i="26" l="1"/>
  <c r="K7" i="25"/>
  <c r="J20" i="25" l="1"/>
  <c r="G20" i="25"/>
  <c r="K15" i="25"/>
  <c r="J15" i="25"/>
  <c r="H48" i="26" l="1"/>
  <c r="F48" i="26"/>
  <c r="K8" i="26" l="1"/>
  <c r="J8" i="26"/>
  <c r="D16" i="26" l="1"/>
  <c r="L54" i="26" l="1"/>
  <c r="D54" i="26"/>
  <c r="J30" i="26"/>
  <c r="H45" i="26" l="1"/>
  <c r="F45" i="26"/>
  <c r="E19" i="26" l="1"/>
  <c r="M6" i="26" l="1"/>
  <c r="L6" i="26"/>
  <c r="I6" i="26"/>
  <c r="H6" i="26"/>
  <c r="G6" i="26"/>
  <c r="F6" i="26"/>
  <c r="C6" i="26"/>
  <c r="K6" i="26"/>
  <c r="D8" i="26"/>
  <c r="D7" i="26"/>
  <c r="D19" i="26"/>
  <c r="M50" i="26" l="1"/>
  <c r="L50" i="26"/>
  <c r="K50" i="26"/>
  <c r="J50" i="26"/>
  <c r="I50" i="26"/>
  <c r="H50" i="26"/>
  <c r="G50" i="26"/>
  <c r="F50" i="26"/>
  <c r="E49" i="26"/>
  <c r="E48" i="26"/>
  <c r="E47" i="26"/>
  <c r="D47" i="26" s="1"/>
  <c r="E46" i="26"/>
  <c r="E45" i="26"/>
  <c r="D45" i="26" s="1"/>
  <c r="E44" i="26"/>
  <c r="D44" i="26" s="1"/>
  <c r="E43" i="26"/>
  <c r="D43" i="26" s="1"/>
  <c r="E42" i="26"/>
  <c r="D42" i="26" s="1"/>
  <c r="E41" i="26"/>
  <c r="E39" i="26"/>
  <c r="E37" i="26"/>
  <c r="E36" i="26"/>
  <c r="E34" i="26"/>
  <c r="E32" i="26"/>
  <c r="E31" i="26"/>
  <c r="D31" i="26" s="1"/>
  <c r="E30" i="26"/>
  <c r="E28" i="26"/>
  <c r="D28" i="26" s="1"/>
  <c r="I24" i="26"/>
  <c r="L40" i="26"/>
  <c r="M40" i="26"/>
  <c r="L35" i="26"/>
  <c r="M35" i="26"/>
  <c r="L33" i="26"/>
  <c r="M33" i="26"/>
  <c r="L29" i="26"/>
  <c r="M29" i="26"/>
  <c r="L27" i="26"/>
  <c r="M27" i="26"/>
  <c r="L25" i="26"/>
  <c r="M25" i="26"/>
  <c r="D50" i="26"/>
  <c r="K40" i="26"/>
  <c r="J40" i="26"/>
  <c r="K35" i="26"/>
  <c r="K33" i="26"/>
  <c r="J33" i="26"/>
  <c r="K29" i="26"/>
  <c r="J29" i="26"/>
  <c r="K27" i="26"/>
  <c r="J27" i="26"/>
  <c r="K25" i="26"/>
  <c r="J25" i="26"/>
  <c r="H40" i="26"/>
  <c r="G40" i="26"/>
  <c r="F40" i="26"/>
  <c r="H35" i="26"/>
  <c r="G35" i="26"/>
  <c r="F35" i="26"/>
  <c r="H33" i="26"/>
  <c r="G33" i="26"/>
  <c r="F33" i="26"/>
  <c r="H29" i="26"/>
  <c r="G29" i="26"/>
  <c r="F29" i="26"/>
  <c r="H27" i="26"/>
  <c r="G27" i="26"/>
  <c r="F27" i="26"/>
  <c r="E26" i="26"/>
  <c r="H25" i="26"/>
  <c r="F25" i="26"/>
  <c r="E14" i="26"/>
  <c r="D11" i="26"/>
  <c r="D39" i="26" l="1"/>
  <c r="D32" i="26"/>
  <c r="D30" i="26"/>
  <c r="D36" i="26"/>
  <c r="D34" i="26"/>
  <c r="D41" i="26"/>
  <c r="D46" i="26"/>
  <c r="D48" i="26"/>
  <c r="D6" i="26"/>
  <c r="J6" i="26"/>
  <c r="J35" i="26"/>
  <c r="E35" i="26" s="1"/>
  <c r="D27" i="26"/>
  <c r="D33" i="26"/>
  <c r="D49" i="26"/>
  <c r="E40" i="26"/>
  <c r="E33" i="26"/>
  <c r="F24" i="26"/>
  <c r="E29" i="26"/>
  <c r="H24" i="26"/>
  <c r="K24" i="26"/>
  <c r="E27" i="26"/>
  <c r="E38" i="26"/>
  <c r="D26" i="26"/>
  <c r="G25" i="26"/>
  <c r="G24" i="26" s="1"/>
  <c r="I6" i="25"/>
  <c r="I22" i="25" s="1"/>
  <c r="E21" i="25"/>
  <c r="E20" i="25"/>
  <c r="E19" i="25"/>
  <c r="E18" i="25"/>
  <c r="D20" i="25"/>
  <c r="L6" i="25"/>
  <c r="K6" i="25"/>
  <c r="H6" i="25"/>
  <c r="G6" i="25"/>
  <c r="F6" i="25"/>
  <c r="J24" i="26" l="1"/>
  <c r="E24" i="26" s="1"/>
  <c r="D6" i="25"/>
  <c r="J6" i="25"/>
  <c r="E6" i="25" s="1"/>
  <c r="D40" i="26"/>
  <c r="D29" i="26"/>
  <c r="D38" i="26"/>
  <c r="D25" i="26"/>
  <c r="E25" i="26"/>
  <c r="D35" i="26" l="1"/>
  <c r="L55" i="26"/>
  <c r="D24" i="26" l="1"/>
  <c r="E16" i="25"/>
  <c r="E21" i="26" l="1"/>
  <c r="E17" i="26"/>
  <c r="E22" i="26"/>
  <c r="E18" i="26" l="1"/>
  <c r="E20" i="26" l="1"/>
  <c r="E8" i="26" l="1"/>
  <c r="E11" i="26"/>
  <c r="E15" i="26"/>
  <c r="E23" i="26"/>
  <c r="E12" i="26"/>
  <c r="K55" i="26" l="1"/>
  <c r="G55" i="26"/>
  <c r="M55" i="26"/>
  <c r="F55" i="26"/>
  <c r="E9" i="26"/>
  <c r="C55" i="26"/>
  <c r="D55" i="26"/>
  <c r="E10" i="26"/>
  <c r="E13" i="26"/>
  <c r="E8" i="25"/>
  <c r="E7" i="26"/>
  <c r="E16" i="26"/>
  <c r="E6" i="26" l="1"/>
  <c r="F22" i="25"/>
  <c r="J55" i="26"/>
  <c r="H55" i="26"/>
  <c r="E7" i="25"/>
  <c r="E55" i="26" l="1"/>
  <c r="C22" i="25"/>
  <c r="E10" i="25" l="1"/>
  <c r="L22" i="25" l="1"/>
  <c r="E9" i="25"/>
  <c r="E12" i="25"/>
  <c r="E11" i="25"/>
  <c r="E15" i="25" l="1"/>
  <c r="K22" i="25" l="1"/>
  <c r="G22" i="25"/>
  <c r="E13" i="25"/>
  <c r="D22" i="25" l="1"/>
  <c r="J22" i="25"/>
  <c r="H22" i="25"/>
  <c r="E14" i="25"/>
  <c r="E22" i="25" l="1"/>
  <c r="E17" i="25"/>
</calcChain>
</file>

<file path=xl/sharedStrings.xml><?xml version="1.0" encoding="utf-8"?>
<sst xmlns="http://schemas.openxmlformats.org/spreadsheetml/2006/main" count="271" uniqueCount="207">
  <si>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</si>
  <si>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</si>
  <si>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</si>
  <si>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</si>
  <si>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</si>
  <si>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</si>
  <si>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</si>
  <si>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</si>
  <si>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</si>
  <si>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</si>
  <si>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</si>
  <si>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</si>
  <si>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</si>
  <si>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</si>
  <si>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</si>
  <si>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</si>
  <si>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</si>
  <si>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</si>
  <si>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</si>
  <si>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Wynagrodzenia osobowe + ZFN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</si>
  <si>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</si>
  <si>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</si>
  <si>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</si>
  <si>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</si>
  <si>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</si>
  <si>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</si>
  <si>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</si>
  <si>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</si>
  <si>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</si>
  <si>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</si>
  <si>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</si>
  <si>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</si>
  <si>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</si>
  <si>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</si>
  <si>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</si>
  <si>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</si>
  <si>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</si>
  <si>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</si>
  <si>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</si>
  <si>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</si>
  <si>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</si>
  <si>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</si>
  <si>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</si>
  <si>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</si>
  <si>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</si>
  <si>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</si>
  <si>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</si>
  <si>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</si>
  <si>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</si>
  <si>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</si>
  <si>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</si>
  <si>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</si>
  <si>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</si>
  <si>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</si>
  <si>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</si>
  <si>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</si>
  <si>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</si>
  <si>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</si>
  <si>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</si>
  <si>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</si>
  <si>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</si>
  <si>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</si>
  <si>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</si>
  <si>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</si>
  <si>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</si>
  <si>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</si>
  <si>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</si>
  <si>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</si>
  <si>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</si>
  <si>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</si>
  <si>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</si>
  <si>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</si>
  <si>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</si>
  <si>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</si>
  <si>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</si>
  <si>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</si>
  <si>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</si>
  <si>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</si>
  <si>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</si>
  <si>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</si>
  <si>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</si>
  <si>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</si>
  <si>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</si>
  <si>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</si>
  <si>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</si>
  <si>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</si>
  <si>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</si>
  <si>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</si>
  <si>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</si>
  <si>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</si>
  <si>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</si>
  <si>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</si>
  <si>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</si>
  <si>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</si>
  <si>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</si>
  <si>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</si>
  <si>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</si>
  <si>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</si>
  <si>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</si>
  <si>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</si>
  <si>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</si>
  <si>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</si>
  <si>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</si>
  <si>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</si>
  <si>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</si>
  <si>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</si>
  <si>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</si>
  <si>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</si>
  <si>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</si>
  <si>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</si>
  <si>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</si>
  <si>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Planowane zobowiązania                            na                                   31-12-2021 r.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</si>
  <si>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</si>
  <si>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</si>
  <si>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</si>
  <si>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</si>
  <si>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</si>
  <si>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</si>
  <si>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</si>
  <si>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t xml:space="preserve">§ 622 inwestycje budowlane
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</si>
  <si>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</si>
  <si>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</si>
  <si>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</si>
  <si>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</si>
  <si>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</si>
  <si>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</si>
  <si>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</si>
  <si>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</si>
  <si>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</si>
  <si>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</si>
  <si>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</si>
  <si>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  <r>
      <rPr>
        <sz val="14"/>
        <rFont val="Arial"/>
        <family val="2"/>
        <charset val="238"/>
      </rPr>
      <t xml:space="preserve">cyfryzacja procesów back-office – ZSI PAN 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</si>
  <si>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  <r>
      <rPr>
        <sz val="14"/>
        <rFont val="Arial"/>
        <family val="2"/>
        <charset val="238"/>
      </rPr>
      <t>zakup infrastruktury informatycznej i oprogramowania</t>
    </r>
  </si>
  <si>
    <t>Zobowiązania                            na                                   01-01-2021 r.</t>
  </si>
  <si>
    <t xml:space="preserve">Plan kosztów 
na 2021r. </t>
  </si>
  <si>
    <r>
      <t xml:space="preserve">Wydatki rozliczane w ciężar dotacji do uwzględnienia w  planie na </t>
    </r>
    <r>
      <rPr>
        <b/>
        <sz val="12"/>
        <color rgb="FF0070C0"/>
        <rFont val="Arial"/>
        <family val="2"/>
        <charset val="238"/>
      </rPr>
      <t>2021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</si>
  <si>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r>
      <t xml:space="preserve">Wydatki rozliczane w ciężar dotacji do uwzględnienia w planie na </t>
    </r>
    <r>
      <rPr>
        <b/>
        <sz val="12"/>
        <color rgb="FF0070C0"/>
        <rFont val="Arial"/>
        <family val="2"/>
        <charset val="238"/>
      </rPr>
      <t>2021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</si>
  <si>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2021 r. </t>
  </si>
  <si>
    <t>11</t>
  </si>
  <si>
    <t xml:space="preserve">Załącznik Nr 1 do Zarządzenia Nr 44/2021 Kanclerza PAN   </t>
  </si>
  <si>
    <t xml:space="preserve">Załącznik Nr 2 do Zarządzenia Nr 44/2021 Kanclerza PAN   </t>
  </si>
  <si>
    <t xml:space="preserve">Załącznik Nr 1 do Zarządzenia Nr 65/2021 Kanclerza PAN   </t>
  </si>
  <si>
    <t xml:space="preserve">Warszawa, 4 listopada 2021 roku                                         </t>
  </si>
  <si>
    <t xml:space="preserve">Załącznik Nr 2 do Zarządzenia Nr 65/2021 Kanclerza PAN   </t>
  </si>
  <si>
    <t xml:space="preserve">Warszawa, 4 listopada 2021 roku           </t>
  </si>
  <si>
    <t>Załącznik Nr 3 do Zarządzenia Nr 44/2021 Kanclerza PAN</t>
  </si>
  <si>
    <r>
      <t>Pozycja (nr w systemie</t>
    </r>
    <r>
      <rPr>
        <b/>
        <sz val="20"/>
        <color theme="1"/>
        <rFont val="Czcionka tekstu podstawowego"/>
        <charset val="238"/>
      </rPr>
      <t xml:space="preserve"> ERP)</t>
    </r>
  </si>
  <si>
    <t>Planowany stan na 01.01.2021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</si>
  <si>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</si>
  <si>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</si>
  <si>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</si>
  <si>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</si>
  <si>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</si>
  <si>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31.12.2021 roku </t>
  </si>
  <si>
    <t xml:space="preserve">środki na sfinansowanie lub prefinansowanie </t>
  </si>
  <si>
    <t>Środki pieniężne</t>
  </si>
  <si>
    <t>Należności</t>
  </si>
  <si>
    <t>Zobowiązania</t>
  </si>
  <si>
    <t>przychody z prowadzonej działalności</t>
  </si>
  <si>
    <t>pozostałe przychody</t>
  </si>
  <si>
    <t>wynagrodzenia</t>
  </si>
  <si>
    <t>pochodne</t>
  </si>
  <si>
    <t>podatki i opłaty</t>
  </si>
  <si>
    <t>zakup towarów 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</si>
  <si>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</si>
  <si>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</si>
  <si>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</si>
  <si>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</si>
  <si>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</si>
  <si>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</si>
  <si>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</si>
  <si>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</si>
  <si>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</si>
  <si>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</si>
  <si>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</si>
  <si>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</si>
  <si>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</si>
  <si>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</si>
  <si>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</si>
  <si>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Zadania realizowane przez Zespół Gospodarczy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</si>
  <si>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</si>
  <si>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</si>
  <si>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</si>
  <si>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</si>
  <si>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</si>
  <si>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</si>
  <si>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koszty bieżące</t>
    </r>
    <r>
      <rPr>
        <sz val="24"/>
        <color indexed="8"/>
        <rFont val="Czcionka tekstu podstawowego"/>
        <charset val="238"/>
      </rPr>
      <t xml:space="preserve">) </t>
    </r>
    <r>
      <rPr>
        <b/>
        <sz val="24"/>
        <color indexed="8"/>
        <rFont val="Czcionka tekstu podstawowego"/>
        <charset val="238"/>
      </rPr>
      <t xml:space="preserve">i inwestycje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wydatki majątkowe</t>
    </r>
    <r>
      <rPr>
        <sz val="24"/>
        <color indexed="8"/>
        <rFont val="Czcionka tekstu podstawowego"/>
        <charset val="238"/>
      </rPr>
      <t>)</t>
    </r>
  </si>
  <si>
    <t>Pozostałe zadania koordynowane na szczeblu centralnym</t>
  </si>
  <si>
    <t>05-01</t>
  </si>
  <si>
    <t>Rozliczenia z tytułu pożyczki z Urzędu Miasta Gdańsk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</si>
  <si>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</si>
  <si>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</si>
  <si>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</si>
  <si>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</si>
  <si>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</si>
  <si>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</si>
  <si>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</si>
  <si>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</si>
  <si>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</si>
  <si>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</si>
  <si>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</si>
  <si>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</si>
  <si>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</si>
  <si>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99-03</t>
  </si>
  <si>
    <t xml:space="preserve">Środki na finansowanie zwrotnej pomocy  dla instytutów naukowych  </t>
  </si>
  <si>
    <t xml:space="preserve">Warszawa, 4 listopada 2021 roku             </t>
  </si>
  <si>
    <t>Załącznik Nr 3 do Zarządzenia Nr  65/2021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</si>
</sst>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z_ł_-;\-* #,##0.00\ _z_ł_-;_-* &quot;-&quot;??\ _z_ł_-;_-@_-"/>
    <numFmt numFmtId="165" formatCode="#,##0.0"/>
    <numFmt numFmtId="166" formatCode="#,##0_ ;[Red]\-#,##0\ "/>
    <numFmt numFmtId="167" formatCode="#,##0.00_ ;[Red]\-#,##0.00\ "/>
  </numFmts>
  <fonts count="65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20"/>
      <color indexed="8"/>
      <name val="Arial"/>
      <family val="2"/>
      <charset val="238"/>
    </font>
    <font>
      <sz val="11"/>
      <color indexed="8"/>
      <name val="Czcionka tekstu podstawowego"/>
      <charset val="238"/>
    </font>
    <font>
      <sz val="20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i/>
      <sz val="20"/>
      <color indexed="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30"/>
      <name val="Czcionka tekstu podstawowego"/>
      <charset val="238"/>
    </font>
    <font>
      <b/>
      <sz val="24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4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24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4"/>
      <color indexed="8"/>
      <name val="Czcionka tekstu podstawowego"/>
      <charset val="238"/>
    </font>
    <font>
      <i/>
      <sz val="24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4"/>
      <color theme="1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5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0" fontId="1" fillId="0" borderId="0"/>
    <xf numFmtId="164" fontId="1" fillId="0" borderId="0" applyFont="0" applyFill="0" applyBorder="0" applyAlignment="0" applyProtection="0"/>
  </cellStyleXfs>
  <cellXfs count="403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0" fillId="0" borderId="0" xfId="0"/>
    <xf numFmtId="0" fontId="4" fillId="0" borderId="0" xfId="0" applyFont="1" applyAlignment="1">
      <alignment horizontal="center"/>
    </xf>
    <xf numFmtId="165" fontId="14" fillId="0" borderId="0" xfId="0" applyNumberFormat="1" applyFont="1"/>
    <xf numFmtId="165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8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8" fillId="5" borderId="43" xfId="6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22" fillId="5" borderId="43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4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1" xfId="6" applyFont="1" applyBorder="1" applyAlignment="1">
      <alignment horizontal="left" vertical="center" wrapText="1" indent="1"/>
    </xf>
    <xf numFmtId="0" fontId="12" fillId="0" borderId="0" xfId="6" applyAlignment="1">
      <alignment vertical="center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8" fillId="5" borderId="48" xfId="6" applyFont="1" applyFill="1" applyBorder="1" applyAlignment="1">
      <alignment vertical="center" wrapText="1"/>
    </xf>
    <xf numFmtId="0" fontId="4" fillId="0" borderId="54" xfId="6" applyFont="1" applyFill="1" applyBorder="1" applyAlignment="1">
      <alignment horizontal="left" vertical="center" wrapText="1" indent="1"/>
    </xf>
    <xf numFmtId="0" fontId="4" fillId="0" borderId="0" xfId="0" applyFont="1" applyBorder="1" applyAlignment="1">
      <alignment vertical="center"/>
    </xf>
    <xf numFmtId="0" fontId="13" fillId="2" borderId="0" xfId="0" applyFont="1" applyFill="1" applyBorder="1" applyAlignment="1">
      <alignment horizontal="center" vertical="center"/>
    </xf>
    <xf numFmtId="4" fontId="13" fillId="2" borderId="0" xfId="0" applyNumberFormat="1" applyFont="1" applyFill="1" applyBorder="1" applyAlignment="1">
      <alignment horizontal="right" vertical="center"/>
    </xf>
    <xf numFmtId="165" fontId="13" fillId="2" borderId="0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Border="1" applyAlignment="1">
      <alignment vertical="center"/>
    </xf>
    <xf numFmtId="3" fontId="23" fillId="0" borderId="0" xfId="6" applyNumberFormat="1" applyFont="1" applyFill="1" applyAlignment="1">
      <alignment horizontal="right"/>
    </xf>
    <xf numFmtId="0" fontId="4" fillId="0" borderId="49" xfId="6" applyFont="1" applyBorder="1" applyAlignment="1">
      <alignment horizontal="left" vertical="center" wrapText="1" indent="1"/>
    </xf>
    <xf numFmtId="0" fontId="18" fillId="4" borderId="19" xfId="6" applyFont="1" applyFill="1" applyBorder="1" applyAlignment="1">
      <alignment horizontal="center" vertical="center" wrapText="1"/>
    </xf>
    <xf numFmtId="0" fontId="20" fillId="0" borderId="17" xfId="6" applyFont="1" applyFill="1" applyBorder="1" applyAlignment="1">
      <alignment vertical="center" wrapText="1"/>
    </xf>
    <xf numFmtId="3" fontId="18" fillId="2" borderId="0" xfId="6" applyNumberFormat="1" applyFont="1" applyFill="1" applyBorder="1" applyAlignment="1">
      <alignment horizontal="right" vertical="center" wrapText="1" indent="1"/>
    </xf>
    <xf numFmtId="0" fontId="18" fillId="2" borderId="0" xfId="6" applyFont="1" applyFill="1" applyBorder="1" applyAlignment="1">
      <alignment horizontal="left" vertical="center" wrapText="1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20" fillId="0" borderId="0" xfId="6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horizontal="center" vertical="center" wrapText="1"/>
    </xf>
    <xf numFmtId="0" fontId="18" fillId="5" borderId="16" xfId="6" applyFont="1" applyFill="1" applyBorder="1" applyAlignment="1">
      <alignment horizontal="center" vertical="center"/>
    </xf>
    <xf numFmtId="0" fontId="18" fillId="5" borderId="44" xfId="6" applyFont="1" applyFill="1" applyBorder="1" applyAlignment="1">
      <alignment horizontal="left" vertical="center" wrapText="1" indent="1"/>
    </xf>
    <xf numFmtId="0" fontId="18" fillId="5" borderId="47" xfId="6" applyFont="1" applyFill="1" applyBorder="1" applyAlignment="1">
      <alignment horizontal="left" vertical="center" wrapText="1" indent="1"/>
    </xf>
    <xf numFmtId="0" fontId="4" fillId="0" borderId="51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indent="1"/>
    </xf>
    <xf numFmtId="0" fontId="4" fillId="0" borderId="57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wrapText="1" indent="1"/>
    </xf>
    <xf numFmtId="0" fontId="13" fillId="0" borderId="0" xfId="6" applyFont="1" applyFill="1" applyAlignment="1">
      <alignment vertical="center"/>
    </xf>
    <xf numFmtId="3" fontId="26" fillId="0" borderId="5" xfId="6" applyNumberFormat="1" applyFont="1" applyFill="1" applyBorder="1" applyAlignment="1">
      <alignment horizontal="right" vertical="center" indent="1"/>
    </xf>
    <xf numFmtId="3" fontId="26" fillId="0" borderId="31" xfId="6" applyNumberFormat="1" applyFont="1" applyFill="1" applyBorder="1" applyAlignment="1">
      <alignment horizontal="right" vertical="center" indent="1"/>
    </xf>
    <xf numFmtId="3" fontId="26" fillId="2" borderId="31" xfId="6" applyNumberFormat="1" applyFont="1" applyFill="1" applyBorder="1" applyAlignment="1">
      <alignment horizontal="right" vertical="center" indent="1"/>
    </xf>
    <xf numFmtId="3" fontId="25" fillId="5" borderId="46" xfId="6" applyNumberFormat="1" applyFont="1" applyFill="1" applyBorder="1" applyAlignment="1">
      <alignment horizontal="right" vertical="center" wrapText="1" indent="1"/>
    </xf>
    <xf numFmtId="3" fontId="25" fillId="5" borderId="45" xfId="6" applyNumberFormat="1" applyFont="1" applyFill="1" applyBorder="1" applyAlignment="1">
      <alignment horizontal="right" vertical="center" wrapText="1" indent="1"/>
    </xf>
    <xf numFmtId="3" fontId="26" fillId="0" borderId="31" xfId="6" applyNumberFormat="1" applyFont="1" applyBorder="1" applyAlignment="1">
      <alignment horizontal="right" vertical="center" indent="1"/>
    </xf>
    <xf numFmtId="3" fontId="26" fillId="0" borderId="37" xfId="6" applyNumberFormat="1" applyFont="1" applyBorder="1" applyAlignment="1">
      <alignment horizontal="right" vertical="center" indent="1"/>
    </xf>
    <xf numFmtId="3" fontId="26" fillId="2" borderId="7" xfId="6" applyNumberFormat="1" applyFont="1" applyFill="1" applyBorder="1" applyAlignment="1">
      <alignment horizontal="right" vertical="center" indent="1"/>
    </xf>
    <xf numFmtId="3" fontId="26" fillId="0" borderId="46" xfId="6" applyNumberFormat="1" applyFont="1" applyBorder="1" applyAlignment="1">
      <alignment horizontal="right" vertical="center" indent="1"/>
    </xf>
    <xf numFmtId="3" fontId="25" fillId="6" borderId="9" xfId="6" applyNumberFormat="1" applyFont="1" applyFill="1" applyBorder="1" applyAlignment="1">
      <alignment horizontal="right" vertical="center" indent="1"/>
    </xf>
    <xf numFmtId="3" fontId="26" fillId="2" borderId="33" xfId="6" applyNumberFormat="1" applyFont="1" applyFill="1" applyBorder="1" applyAlignment="1">
      <alignment horizontal="right" vertical="center" indent="1"/>
    </xf>
    <xf numFmtId="3" fontId="26" fillId="0" borderId="33" xfId="6" applyNumberFormat="1" applyFont="1" applyBorder="1" applyAlignment="1">
      <alignment horizontal="right" vertical="center" indent="1"/>
    </xf>
    <xf numFmtId="3" fontId="26" fillId="0" borderId="39" xfId="6" applyNumberFormat="1" applyFont="1" applyBorder="1" applyAlignment="1">
      <alignment horizontal="right" vertical="center" indent="1"/>
    </xf>
    <xf numFmtId="3" fontId="25" fillId="5" borderId="8" xfId="6" applyNumberFormat="1" applyFont="1" applyFill="1" applyBorder="1" applyAlignment="1">
      <alignment horizontal="right" vertical="center" indent="1"/>
    </xf>
    <xf numFmtId="3" fontId="25" fillId="5" borderId="12" xfId="6" applyNumberFormat="1" applyFont="1" applyFill="1" applyBorder="1" applyAlignment="1">
      <alignment horizontal="right" vertical="center" indent="1"/>
    </xf>
    <xf numFmtId="3" fontId="25" fillId="5" borderId="9" xfId="6" applyNumberFormat="1" applyFont="1" applyFill="1" applyBorder="1" applyAlignment="1">
      <alignment horizontal="right" vertical="center" indent="1"/>
    </xf>
    <xf numFmtId="3" fontId="25" fillId="5" borderId="13" xfId="6" applyNumberFormat="1" applyFont="1" applyFill="1" applyBorder="1" applyAlignment="1">
      <alignment horizontal="right" vertical="center" indent="1"/>
    </xf>
    <xf numFmtId="3" fontId="26" fillId="0" borderId="7" xfId="6" applyNumberFormat="1" applyFont="1" applyFill="1" applyBorder="1" applyAlignment="1">
      <alignment horizontal="right" vertical="center" indent="1"/>
    </xf>
    <xf numFmtId="3" fontId="26" fillId="2" borderId="23" xfId="6" applyNumberFormat="1" applyFont="1" applyFill="1" applyBorder="1" applyAlignment="1">
      <alignment horizontal="right" vertical="center" indent="1"/>
    </xf>
    <xf numFmtId="3" fontId="25" fillId="4" borderId="9" xfId="6" applyNumberFormat="1" applyFont="1" applyFill="1" applyBorder="1" applyAlignment="1">
      <alignment horizontal="right" vertical="center" wrapText="1" indent="1"/>
    </xf>
    <xf numFmtId="3" fontId="25" fillId="4" borderId="13" xfId="6" applyNumberFormat="1" applyFont="1" applyFill="1" applyBorder="1" applyAlignment="1">
      <alignment horizontal="right" vertical="center" wrapText="1" indent="1"/>
    </xf>
    <xf numFmtId="3" fontId="26" fillId="0" borderId="38" xfId="6" applyNumberFormat="1" applyFont="1" applyFill="1" applyBorder="1" applyAlignment="1">
      <alignment horizontal="right" vertical="center" indent="1"/>
    </xf>
    <xf numFmtId="3" fontId="26" fillId="0" borderId="28" xfId="6" applyNumberFormat="1" applyFont="1" applyFill="1" applyBorder="1" applyAlignment="1">
      <alignment horizontal="right" vertical="center" indent="1"/>
    </xf>
    <xf numFmtId="3" fontId="26" fillId="0" borderId="37" xfId="6" applyNumberFormat="1" applyFont="1" applyFill="1" applyBorder="1" applyAlignment="1">
      <alignment horizontal="right" vertical="center" indent="1"/>
    </xf>
    <xf numFmtId="3" fontId="26" fillId="0" borderId="32" xfId="6" applyNumberFormat="1" applyFont="1" applyFill="1" applyBorder="1" applyAlignment="1">
      <alignment horizontal="right" vertical="center" indent="1"/>
    </xf>
    <xf numFmtId="3" fontId="26" fillId="2" borderId="8" xfId="6" applyNumberFormat="1" applyFont="1" applyFill="1" applyBorder="1" applyAlignment="1">
      <alignment horizontal="right" vertical="center" indent="1"/>
    </xf>
    <xf numFmtId="3" fontId="26" fillId="2" borderId="12" xfId="6" applyNumberFormat="1" applyFont="1" applyFill="1" applyBorder="1" applyAlignment="1">
      <alignment horizontal="right" vertical="center" indent="1"/>
    </xf>
    <xf numFmtId="3" fontId="26" fillId="2" borderId="37" xfId="6" applyNumberFormat="1" applyFont="1" applyFill="1" applyBorder="1" applyAlignment="1">
      <alignment horizontal="right" vertical="center" indent="1"/>
    </xf>
    <xf numFmtId="3" fontId="26" fillId="2" borderId="32" xfId="6" applyNumberFormat="1" applyFont="1" applyFill="1" applyBorder="1" applyAlignment="1">
      <alignment horizontal="right" vertical="center" indent="1"/>
    </xf>
    <xf numFmtId="3" fontId="26" fillId="0" borderId="35" xfId="6" applyNumberFormat="1" applyFont="1" applyFill="1" applyBorder="1" applyAlignment="1">
      <alignment horizontal="right" vertical="center" indent="1"/>
    </xf>
    <xf numFmtId="3" fontId="26" fillId="0" borderId="29" xfId="6" applyNumberFormat="1" applyFont="1" applyFill="1" applyBorder="1" applyAlignment="1">
      <alignment horizontal="right" vertical="center" indent="1"/>
    </xf>
    <xf numFmtId="3" fontId="26" fillId="0" borderId="36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Fill="1" applyBorder="1" applyAlignment="1">
      <alignment horizontal="right" vertical="center" indent="1"/>
    </xf>
    <xf numFmtId="3" fontId="26" fillId="0" borderId="46" xfId="6" applyNumberFormat="1" applyFont="1" applyFill="1" applyBorder="1" applyAlignment="1">
      <alignment horizontal="right" vertical="center" indent="1"/>
    </xf>
    <xf numFmtId="3" fontId="26" fillId="0" borderId="45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9" xfId="6" applyFont="1" applyFill="1" applyBorder="1" applyAlignment="1">
      <alignment horizontal="left" vertical="center" indent="1"/>
    </xf>
    <xf numFmtId="3" fontId="7" fillId="0" borderId="40" xfId="6" applyNumberFormat="1" applyFont="1" applyFill="1" applyBorder="1" applyAlignment="1">
      <alignment horizontal="center" vertical="center" wrapText="1"/>
    </xf>
    <xf numFmtId="3" fontId="7" fillId="0" borderId="34" xfId="6" applyNumberFormat="1" applyFont="1" applyFill="1" applyBorder="1" applyAlignment="1">
      <alignment horizontal="center" vertical="center" wrapText="1"/>
    </xf>
    <xf numFmtId="0" fontId="5" fillId="0" borderId="52" xfId="6" quotePrefix="1" applyFont="1" applyBorder="1" applyAlignment="1">
      <alignment horizontal="center" vertical="center"/>
    </xf>
    <xf numFmtId="0" fontId="4" fillId="0" borderId="47" xfId="6" applyFont="1" applyFill="1" applyBorder="1" applyAlignment="1">
      <alignment horizontal="left" vertical="center" wrapText="1" indent="1"/>
    </xf>
    <xf numFmtId="49" fontId="4" fillId="0" borderId="52" xfId="6" applyNumberFormat="1" applyFont="1" applyFill="1" applyBorder="1" applyAlignment="1">
      <alignment horizontal="center" vertical="center"/>
    </xf>
    <xf numFmtId="49" fontId="4" fillId="0" borderId="15" xfId="6" applyNumberFormat="1" applyFont="1" applyFill="1" applyBorder="1" applyAlignment="1">
      <alignment horizontal="center" vertical="center"/>
    </xf>
    <xf numFmtId="49" fontId="4" fillId="0" borderId="64" xfId="6" applyNumberFormat="1" applyFont="1" applyFill="1" applyBorder="1" applyAlignment="1">
      <alignment horizontal="center" vertical="center"/>
    </xf>
    <xf numFmtId="49" fontId="4" fillId="0" borderId="60" xfId="6" applyNumberFormat="1" applyFont="1" applyFill="1" applyBorder="1" applyAlignment="1">
      <alignment horizontal="center" vertical="center"/>
    </xf>
    <xf numFmtId="49" fontId="7" fillId="6" borderId="43" xfId="6" applyNumberFormat="1" applyFont="1" applyFill="1" applyBorder="1" applyAlignment="1">
      <alignment horizontal="center" vertical="center"/>
    </xf>
    <xf numFmtId="3" fontId="26" fillId="0" borderId="42" xfId="6" applyNumberFormat="1" applyFont="1" applyFill="1" applyBorder="1" applyAlignment="1">
      <alignment horizontal="right" vertical="center" indent="1"/>
    </xf>
    <xf numFmtId="3" fontId="26" fillId="0" borderId="23" xfId="6" applyNumberFormat="1" applyFont="1" applyFill="1" applyBorder="1" applyAlignment="1">
      <alignment horizontal="right" vertical="center" indent="1"/>
    </xf>
    <xf numFmtId="3" fontId="18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vertical="center" wrapText="1"/>
    </xf>
    <xf numFmtId="49" fontId="4" fillId="0" borderId="43" xfId="6" applyNumberFormat="1" applyFont="1" applyFill="1" applyBorder="1" applyAlignment="1">
      <alignment horizontal="center" vertical="center"/>
    </xf>
    <xf numFmtId="0" fontId="4" fillId="0" borderId="44" xfId="6" applyFont="1" applyFill="1" applyBorder="1" applyAlignment="1">
      <alignment horizontal="left" vertical="center" indent="1"/>
    </xf>
    <xf numFmtId="3" fontId="26" fillId="0" borderId="9" xfId="6" applyNumberFormat="1" applyFont="1" applyFill="1" applyBorder="1" applyAlignment="1">
      <alignment horizontal="right" vertical="center" indent="1"/>
    </xf>
    <xf numFmtId="3" fontId="26" fillId="0" borderId="13" xfId="6" applyNumberFormat="1" applyFont="1" applyFill="1" applyBorder="1" applyAlignment="1">
      <alignment horizontal="right" vertical="center" indent="1"/>
    </xf>
    <xf numFmtId="3" fontId="26" fillId="0" borderId="58" xfId="6" applyNumberFormat="1" applyFont="1" applyFill="1" applyBorder="1" applyAlignment="1">
      <alignment horizontal="right" vertical="center" indent="1"/>
    </xf>
    <xf numFmtId="3" fontId="24" fillId="0" borderId="0" xfId="6" applyNumberFormat="1" applyFont="1" applyBorder="1" applyAlignment="1">
      <alignment vertical="top"/>
    </xf>
    <xf numFmtId="3" fontId="7" fillId="0" borderId="41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0" fillId="0" borderId="0" xfId="0" applyFill="1"/>
    <xf numFmtId="3" fontId="8" fillId="0" borderId="23" xfId="6" applyNumberFormat="1" applyFont="1" applyFill="1" applyBorder="1" applyAlignment="1">
      <alignment horizontal="center" vertical="center" wrapText="1"/>
    </xf>
    <xf numFmtId="3" fontId="7" fillId="0" borderId="19" xfId="6" applyNumberFormat="1" applyFont="1" applyBorder="1" applyAlignment="1">
      <alignment horizontal="center" vertical="center" wrapText="1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/>
    </xf>
    <xf numFmtId="0" fontId="18" fillId="5" borderId="3" xfId="0" quotePrefix="1" applyFont="1" applyFill="1" applyBorder="1" applyAlignment="1">
      <alignment horizontal="center" vertical="center"/>
    </xf>
    <xf numFmtId="3" fontId="18" fillId="5" borderId="3" xfId="0" applyNumberFormat="1" applyFont="1" applyFill="1" applyBorder="1" applyAlignment="1">
      <alignment horizontal="left" vertical="center" wrapText="1" indent="1"/>
    </xf>
    <xf numFmtId="3" fontId="20" fillId="0" borderId="63" xfId="0" applyNumberFormat="1" applyFont="1" applyBorder="1" applyAlignment="1">
      <alignment horizontal="center" vertical="center" wrapText="1"/>
    </xf>
    <xf numFmtId="3" fontId="18" fillId="0" borderId="22" xfId="0" applyNumberFormat="1" applyFont="1" applyFill="1" applyBorder="1" applyAlignment="1">
      <alignment horizontal="center" vertical="center" wrapText="1"/>
    </xf>
    <xf numFmtId="0" fontId="18" fillId="7" borderId="19" xfId="0" quotePrefix="1" applyFont="1" applyFill="1" applyBorder="1" applyAlignment="1">
      <alignment horizontal="center" vertical="center"/>
    </xf>
    <xf numFmtId="3" fontId="18" fillId="7" borderId="26" xfId="0" applyNumberFormat="1" applyFont="1" applyFill="1" applyBorder="1" applyAlignment="1">
      <alignment horizontal="center" vertical="center" wrapText="1"/>
    </xf>
    <xf numFmtId="3" fontId="18" fillId="3" borderId="21" xfId="0" applyNumberFormat="1" applyFont="1" applyFill="1" applyBorder="1" applyAlignment="1">
      <alignment vertical="center"/>
    </xf>
    <xf numFmtId="0" fontId="4" fillId="0" borderId="16" xfId="6" quotePrefix="1" applyFont="1" applyFill="1" applyBorder="1" applyAlignment="1">
      <alignment horizontal="center" vertical="center"/>
    </xf>
    <xf numFmtId="3" fontId="4" fillId="0" borderId="54" xfId="6" applyNumberFormat="1" applyFont="1" applyFill="1" applyBorder="1" applyAlignment="1">
      <alignment horizontal="left" vertical="center" indent="1"/>
    </xf>
    <xf numFmtId="3" fontId="26" fillId="0" borderId="12" xfId="6" applyNumberFormat="1" applyFont="1" applyFill="1" applyBorder="1" applyAlignment="1">
      <alignment horizontal="right" vertical="center" indent="1"/>
    </xf>
    <xf numFmtId="3" fontId="26" fillId="0" borderId="65" xfId="6" applyNumberFormat="1" applyFont="1" applyFill="1" applyBorder="1" applyAlignment="1">
      <alignment horizontal="right" vertical="center" indent="1"/>
    </xf>
    <xf numFmtId="0" fontId="4" fillId="0" borderId="54" xfId="6" applyFont="1" applyFill="1" applyBorder="1" applyAlignment="1">
      <alignment horizontal="left" vertical="center" indent="1"/>
    </xf>
    <xf numFmtId="0" fontId="4" fillId="0" borderId="3" xfId="6" quotePrefix="1" applyFont="1" applyFill="1" applyBorder="1" applyAlignment="1">
      <alignment horizontal="center" vertical="center"/>
    </xf>
    <xf numFmtId="0" fontId="4" fillId="0" borderId="43" xfId="6" quotePrefix="1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43" xfId="6" applyFont="1" applyFill="1" applyBorder="1" applyAlignment="1">
      <alignment horizontal="center" vertical="center" wrapText="1"/>
    </xf>
    <xf numFmtId="0" fontId="4" fillId="0" borderId="44" xfId="6" applyFont="1" applyFill="1" applyBorder="1" applyAlignment="1">
      <alignment horizontal="left" vertical="center" wrapText="1" indent="1"/>
    </xf>
    <xf numFmtId="0" fontId="20" fillId="10" borderId="3" xfId="0" quotePrefix="1" applyFont="1" applyFill="1" applyBorder="1" applyAlignment="1">
      <alignment horizontal="center" vertical="center"/>
    </xf>
    <xf numFmtId="3" fontId="20" fillId="10" borderId="3" xfId="0" applyNumberFormat="1" applyFont="1" applyFill="1" applyBorder="1" applyAlignment="1">
      <alignment horizontal="left" vertical="center" wrapText="1" indent="1"/>
    </xf>
    <xf numFmtId="0" fontId="20" fillId="10" borderId="3" xfId="0" applyFont="1" applyFill="1" applyBorder="1" applyAlignment="1">
      <alignment horizontal="left" vertical="center" indent="1"/>
    </xf>
    <xf numFmtId="0" fontId="20" fillId="10" borderId="19" xfId="0" applyFont="1" applyFill="1" applyBorder="1" applyAlignment="1">
      <alignment horizontal="center" vertical="center"/>
    </xf>
    <xf numFmtId="49" fontId="20" fillId="10" borderId="1" xfId="0" applyNumberFormat="1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left" vertical="center" wrapText="1" indent="1"/>
    </xf>
    <xf numFmtId="0" fontId="20" fillId="0" borderId="19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left" vertical="center" wrapText="1" indent="1"/>
    </xf>
    <xf numFmtId="3" fontId="27" fillId="5" borderId="8" xfId="0" applyNumberFormat="1" applyFont="1" applyFill="1" applyBorder="1" applyAlignment="1">
      <alignment horizontal="right" vertical="center" indent="1"/>
    </xf>
    <xf numFmtId="3" fontId="27" fillId="5" borderId="12" xfId="0" applyNumberFormat="1" applyFont="1" applyFill="1" applyBorder="1" applyAlignment="1">
      <alignment horizontal="right" vertical="center" indent="1"/>
    </xf>
    <xf numFmtId="3" fontId="28" fillId="0" borderId="8" xfId="0" applyNumberFormat="1" applyFont="1" applyFill="1" applyBorder="1" applyAlignment="1">
      <alignment horizontal="right" vertical="center" indent="1"/>
    </xf>
    <xf numFmtId="3" fontId="28" fillId="0" borderId="12" xfId="0" applyNumberFormat="1" applyFont="1" applyFill="1" applyBorder="1" applyAlignment="1">
      <alignment horizontal="right" vertical="center" indent="1"/>
    </xf>
    <xf numFmtId="3" fontId="27" fillId="3" borderId="18" xfId="0" applyNumberFormat="1" applyFont="1" applyFill="1" applyBorder="1" applyAlignment="1">
      <alignment horizontal="right" vertical="center" indent="1"/>
    </xf>
    <xf numFmtId="3" fontId="27" fillId="3" borderId="9" xfId="0" applyNumberFormat="1" applyFont="1" applyFill="1" applyBorder="1" applyAlignment="1">
      <alignment horizontal="right" vertical="center" indent="1"/>
    </xf>
    <xf numFmtId="3" fontId="26" fillId="0" borderId="5" xfId="6" applyNumberFormat="1" applyFont="1" applyBorder="1" applyAlignment="1">
      <alignment horizontal="right" vertical="center" indent="1"/>
    </xf>
    <xf numFmtId="3" fontId="26" fillId="2" borderId="5" xfId="6" applyNumberFormat="1" applyFont="1" applyFill="1" applyBorder="1" applyAlignment="1">
      <alignment horizontal="right" vertical="center" indent="1"/>
    </xf>
    <xf numFmtId="3" fontId="26" fillId="2" borderId="38" xfId="6" applyNumberFormat="1" applyFont="1" applyFill="1" applyBorder="1" applyAlignment="1">
      <alignment horizontal="right" vertical="center" indent="1"/>
    </xf>
    <xf numFmtId="4" fontId="27" fillId="5" borderId="8" xfId="0" applyNumberFormat="1" applyFont="1" applyFill="1" applyBorder="1" applyAlignment="1">
      <alignment horizontal="right" vertical="center" indent="1"/>
    </xf>
    <xf numFmtId="4" fontId="28" fillId="0" borderId="8" xfId="0" applyNumberFormat="1" applyFont="1" applyFill="1" applyBorder="1" applyAlignment="1">
      <alignment horizontal="right" vertical="center" indent="1"/>
    </xf>
    <xf numFmtId="4" fontId="27" fillId="3" borderId="18" xfId="0" applyNumberFormat="1" applyFont="1" applyFill="1" applyBorder="1" applyAlignment="1">
      <alignment horizontal="right" vertical="center" indent="1"/>
    </xf>
    <xf numFmtId="4" fontId="25" fillId="5" borderId="45" xfId="6" applyNumberFormat="1" applyFont="1" applyFill="1" applyBorder="1" applyAlignment="1">
      <alignment horizontal="right" vertical="center" wrapText="1" indent="1"/>
    </xf>
    <xf numFmtId="4" fontId="26" fillId="0" borderId="13" xfId="6" applyNumberFormat="1" applyFont="1" applyFill="1" applyBorder="1" applyAlignment="1">
      <alignment horizontal="right" vertical="center" indent="1"/>
    </xf>
    <xf numFmtId="4" fontId="26" fillId="0" borderId="0" xfId="6" applyNumberFormat="1" applyFont="1" applyFill="1" applyBorder="1" applyAlignment="1">
      <alignment horizontal="right" vertical="center" indent="1"/>
    </xf>
    <xf numFmtId="4" fontId="26" fillId="0" borderId="20" xfId="6" applyNumberFormat="1" applyFont="1" applyFill="1" applyBorder="1" applyAlignment="1">
      <alignment horizontal="right" vertical="center" indent="1"/>
    </xf>
    <xf numFmtId="4" fontId="25" fillId="5" borderId="53" xfId="6" applyNumberFormat="1" applyFont="1" applyFill="1" applyBorder="1" applyAlignment="1">
      <alignment horizontal="right" vertical="center" indent="1"/>
    </xf>
    <xf numFmtId="4" fontId="26" fillId="0" borderId="37" xfId="6" applyNumberFormat="1" applyFont="1" applyBorder="1" applyAlignment="1">
      <alignment horizontal="right" vertical="center" indent="1"/>
    </xf>
    <xf numFmtId="4" fontId="25" fillId="6" borderId="20" xfId="6" applyNumberFormat="1" applyFont="1" applyFill="1" applyBorder="1" applyAlignment="1">
      <alignment horizontal="right" vertical="center" indent="1"/>
    </xf>
    <xf numFmtId="4" fontId="26" fillId="0" borderId="61" xfId="6" applyNumberFormat="1" applyFont="1" applyFill="1" applyBorder="1" applyAlignment="1">
      <alignment horizontal="right" vertical="center" indent="1"/>
    </xf>
    <xf numFmtId="4" fontId="26" fillId="0" borderId="50" xfId="6" applyNumberFormat="1" applyFont="1" applyFill="1" applyBorder="1" applyAlignment="1">
      <alignment horizontal="right" vertical="center" indent="1"/>
    </xf>
    <xf numFmtId="4" fontId="26" fillId="0" borderId="56" xfId="6" applyNumberFormat="1" applyFont="1" applyFill="1" applyBorder="1" applyAlignment="1">
      <alignment horizontal="right" vertical="center" indent="1"/>
    </xf>
    <xf numFmtId="4" fontId="26" fillId="0" borderId="24" xfId="6" applyNumberFormat="1" applyFont="1" applyFill="1" applyBorder="1" applyAlignment="1">
      <alignment horizontal="right" vertical="center" indent="1"/>
    </xf>
    <xf numFmtId="4" fontId="25" fillId="5" borderId="20" xfId="6" applyNumberFormat="1" applyFont="1" applyFill="1" applyBorder="1" applyAlignment="1">
      <alignment horizontal="right" vertical="center" indent="1"/>
    </xf>
    <xf numFmtId="4" fontId="26" fillId="2" borderId="53" xfId="6" applyNumberFormat="1" applyFont="1" applyFill="1" applyBorder="1" applyAlignment="1">
      <alignment horizontal="right" vertical="center" indent="1"/>
    </xf>
    <xf numFmtId="4" fontId="26" fillId="2" borderId="61" xfId="6" applyNumberFormat="1" applyFont="1" applyFill="1" applyBorder="1" applyAlignment="1">
      <alignment horizontal="right" vertical="center" indent="1"/>
    </xf>
    <xf numFmtId="4" fontId="26" fillId="2" borderId="50" xfId="6" applyNumberFormat="1" applyFont="1" applyFill="1" applyBorder="1" applyAlignment="1">
      <alignment horizontal="right" vertical="center" indent="1"/>
    </xf>
    <xf numFmtId="4" fontId="26" fillId="2" borderId="0" xfId="6" applyNumberFormat="1" applyFont="1" applyFill="1" applyBorder="1" applyAlignment="1">
      <alignment horizontal="right" vertical="center" indent="1"/>
    </xf>
    <xf numFmtId="4" fontId="25" fillId="4" borderId="20" xfId="6" applyNumberFormat="1" applyFont="1" applyFill="1" applyBorder="1" applyAlignment="1">
      <alignment horizontal="right" vertical="center" wrapText="1" indent="1"/>
    </xf>
    <xf numFmtId="4" fontId="26" fillId="0" borderId="53" xfId="6" applyNumberFormat="1" applyFont="1" applyFill="1" applyBorder="1" applyAlignment="1">
      <alignment horizontal="right" vertical="center" indent="1"/>
    </xf>
    <xf numFmtId="3" fontId="28" fillId="0" borderId="9" xfId="0" applyNumberFormat="1" applyFont="1" applyFill="1" applyBorder="1" applyAlignment="1">
      <alignment horizontal="right" vertical="center" indent="1"/>
    </xf>
    <xf numFmtId="3" fontId="28" fillId="0" borderId="65" xfId="0" applyNumberFormat="1" applyFont="1" applyFill="1" applyBorder="1" applyAlignment="1">
      <alignment horizontal="right" vertical="center" indent="1"/>
    </xf>
    <xf numFmtId="4" fontId="28" fillId="0" borderId="4" xfId="0" applyNumberFormat="1" applyFont="1" applyFill="1" applyBorder="1" applyAlignment="1">
      <alignment horizontal="right" vertical="center" indent="1"/>
    </xf>
    <xf numFmtId="3" fontId="28" fillId="0" borderId="4" xfId="0" applyNumberFormat="1" applyFont="1" applyFill="1" applyBorder="1" applyAlignment="1">
      <alignment horizontal="right" vertical="center" indent="1"/>
    </xf>
    <xf numFmtId="4" fontId="26" fillId="0" borderId="11" xfId="6" applyNumberFormat="1" applyFont="1" applyFill="1" applyBorder="1" applyAlignment="1">
      <alignment horizontal="right" vertical="center" indent="1"/>
    </xf>
    <xf numFmtId="3" fontId="26" fillId="0" borderId="30" xfId="6" applyNumberFormat="1" applyFont="1" applyFill="1" applyBorder="1" applyAlignment="1">
      <alignment horizontal="right" vertical="center" indent="1"/>
    </xf>
    <xf numFmtId="4" fontId="27" fillId="7" borderId="9" xfId="0" applyNumberFormat="1" applyFont="1" applyFill="1" applyBorder="1" applyAlignment="1">
      <alignment horizontal="right" vertical="center" indent="1"/>
    </xf>
    <xf numFmtId="3" fontId="27" fillId="7" borderId="9" xfId="0" applyNumberFormat="1" applyFont="1" applyFill="1" applyBorder="1" applyAlignment="1">
      <alignment horizontal="right" vertical="center" indent="1"/>
    </xf>
    <xf numFmtId="3" fontId="27" fillId="7" borderId="13" xfId="0" applyNumberFormat="1" applyFont="1" applyFill="1" applyBorder="1" applyAlignment="1">
      <alignment horizontal="right" vertical="center" indent="1"/>
    </xf>
    <xf numFmtId="3" fontId="18" fillId="7" borderId="19" xfId="0" applyNumberFormat="1" applyFont="1" applyFill="1" applyBorder="1" applyAlignment="1">
      <alignment horizontal="left" vertical="center" wrapText="1" indent="1"/>
    </xf>
    <xf numFmtId="4" fontId="25" fillId="7" borderId="53" xfId="6" applyNumberFormat="1" applyFont="1" applyFill="1" applyBorder="1" applyAlignment="1">
      <alignment horizontal="right" vertical="center" indent="1"/>
    </xf>
    <xf numFmtId="3" fontId="25" fillId="7" borderId="8" xfId="6" applyNumberFormat="1" applyFont="1" applyFill="1" applyBorder="1" applyAlignment="1">
      <alignment horizontal="right" vertical="center" indent="1"/>
    </xf>
    <xf numFmtId="3" fontId="25" fillId="7" borderId="9" xfId="6" applyNumberFormat="1" applyFont="1" applyFill="1" applyBorder="1" applyAlignment="1">
      <alignment horizontal="right" vertical="center" indent="1"/>
    </xf>
    <xf numFmtId="0" fontId="18" fillId="7" borderId="44" xfId="6" applyFont="1" applyFill="1" applyBorder="1" applyAlignment="1">
      <alignment horizontal="left" vertical="center" indent="1"/>
    </xf>
    <xf numFmtId="0" fontId="13" fillId="7" borderId="54" xfId="6" applyFont="1" applyFill="1" applyBorder="1" applyAlignment="1">
      <alignment horizontal="left" vertical="center" wrapText="1" indent="1"/>
    </xf>
    <xf numFmtId="0" fontId="20" fillId="0" borderId="3" xfId="0" quotePrefix="1" applyFont="1" applyFill="1" applyBorder="1" applyAlignment="1">
      <alignment horizontal="center" vertical="center"/>
    </xf>
    <xf numFmtId="3" fontId="20" fillId="0" borderId="3" xfId="0" applyNumberFormat="1" applyFont="1" applyFill="1" applyBorder="1" applyAlignment="1">
      <alignment horizontal="left" vertical="center" indent="1"/>
    </xf>
    <xf numFmtId="3" fontId="20" fillId="0" borderId="3" xfId="0" applyNumberFormat="1" applyFont="1" applyFill="1" applyBorder="1" applyAlignment="1">
      <alignment horizontal="left" vertical="center" wrapText="1" indent="1"/>
    </xf>
    <xf numFmtId="0" fontId="20" fillId="0" borderId="3" xfId="0" applyFont="1" applyFill="1" applyBorder="1" applyAlignment="1">
      <alignment horizontal="left" vertical="center" indent="1"/>
    </xf>
    <xf numFmtId="3" fontId="24" fillId="0" borderId="0" xfId="6" applyNumberFormat="1" applyFont="1" applyFill="1" applyAlignment="1">
      <alignment horizontal="right"/>
    </xf>
    <xf numFmtId="0" fontId="18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4" fillId="0" borderId="53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8" fillId="0" borderId="24" xfId="6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center" vertical="center" wrapText="1"/>
    </xf>
    <xf numFmtId="3" fontId="18" fillId="0" borderId="42" xfId="0" applyNumberFormat="1" applyFont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center" vertical="center" wrapText="1"/>
    </xf>
    <xf numFmtId="3" fontId="24" fillId="0" borderId="0" xfId="6" applyNumberFormat="1" applyFont="1" applyAlignment="1">
      <alignment horizontal="right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7" fillId="0" borderId="62" xfId="6" applyFont="1" applyBorder="1" applyAlignment="1">
      <alignment horizontal="center" vertical="center" wrapText="1"/>
    </xf>
    <xf numFmtId="0" fontId="17" fillId="0" borderId="47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3" fontId="7" fillId="0" borderId="1" xfId="6" applyNumberFormat="1" applyFont="1" applyFill="1" applyBorder="1" applyAlignment="1">
      <alignment horizontal="center" vertical="center" wrapText="1"/>
    </xf>
    <xf numFmtId="3" fontId="7" fillId="0" borderId="14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8" fillId="4" borderId="43" xfId="6" applyFont="1" applyFill="1" applyBorder="1" applyAlignment="1">
      <alignment horizontal="center" vertical="center" wrapText="1"/>
    </xf>
    <xf numFmtId="0" fontId="18" fillId="4" borderId="18" xfId="6" applyFont="1" applyFill="1" applyBorder="1" applyAlignment="1">
      <alignment horizontal="center" vertical="center" wrapText="1"/>
    </xf>
    <xf numFmtId="3" fontId="18" fillId="0" borderId="1" xfId="6" applyNumberFormat="1" applyFont="1" applyFill="1" applyBorder="1" applyAlignment="1">
      <alignment horizontal="center" vertical="center"/>
    </xf>
    <xf numFmtId="3" fontId="18" fillId="0" borderId="2" xfId="6" applyNumberFormat="1" applyFont="1" applyFill="1" applyBorder="1" applyAlignment="1">
      <alignment horizontal="center" vertical="center"/>
    </xf>
    <xf numFmtId="3" fontId="18" fillId="0" borderId="14" xfId="6" applyNumberFormat="1" applyFont="1" applyFill="1" applyBorder="1" applyAlignment="1">
      <alignment horizontal="center" vertical="center"/>
    </xf>
    <xf numFmtId="3" fontId="7" fillId="0" borderId="2" xfId="6" applyNumberFormat="1" applyFont="1" applyFill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0" fontId="1" fillId="0" borderId="0" xfId="7" applyAlignment="1">
      <alignment horizontal="center"/>
    </xf>
    <xf numFmtId="0" fontId="1" fillId="0" borderId="0" xfId="7"/>
    <xf numFmtId="0" fontId="30" fillId="0" borderId="0" xfId="7" applyFont="1"/>
    <xf numFmtId="0" fontId="31" fillId="0" borderId="0" xfId="7" applyFont="1"/>
    <xf numFmtId="0" fontId="32" fillId="0" borderId="0" xfId="7" applyFont="1" applyAlignment="1">
      <alignment horizontal="right"/>
    </xf>
    <xf numFmtId="0" fontId="33" fillId="0" borderId="0" xfId="7" applyFont="1"/>
    <xf numFmtId="0" fontId="34" fillId="0" borderId="62" xfId="7" applyFont="1" applyBorder="1" applyAlignment="1">
      <alignment horizontal="center" vertical="center" wrapText="1"/>
    </xf>
    <xf numFmtId="0" fontId="34" fillId="0" borderId="4" xfId="7" applyFont="1" applyBorder="1" applyAlignment="1">
      <alignment horizontal="center" vertical="center" wrapText="1"/>
    </xf>
    <xf numFmtId="0" fontId="34" fillId="0" borderId="8" xfId="7" applyFont="1" applyBorder="1" applyAlignment="1">
      <alignment horizontal="center" vertical="center"/>
    </xf>
    <xf numFmtId="0" fontId="35" fillId="0" borderId="12" xfId="7" applyFont="1" applyBorder="1" applyAlignment="1">
      <alignment horizontal="center" vertical="center" wrapText="1"/>
    </xf>
    <xf numFmtId="0" fontId="34" fillId="0" borderId="53" xfId="7" applyFont="1" applyBorder="1" applyAlignment="1">
      <alignment horizontal="left" vertical="center" wrapText="1"/>
    </xf>
    <xf numFmtId="0" fontId="34" fillId="0" borderId="66" xfId="7" applyFont="1" applyBorder="1" applyAlignment="1">
      <alignment horizontal="left" vertical="center" wrapText="1"/>
    </xf>
    <xf numFmtId="0" fontId="35" fillId="0" borderId="4" xfId="7" applyFont="1" applyBorder="1" applyAlignment="1">
      <alignment horizontal="center" vertical="center" wrapText="1"/>
    </xf>
    <xf numFmtId="0" fontId="36" fillId="0" borderId="53" xfId="7" applyFont="1" applyBorder="1" applyAlignment="1">
      <alignment horizontal="left" vertical="center" wrapText="1"/>
    </xf>
    <xf numFmtId="0" fontId="36" fillId="0" borderId="66" xfId="7" applyFont="1" applyBorder="1" applyAlignment="1">
      <alignment horizontal="left" vertical="center" wrapText="1"/>
    </xf>
    <xf numFmtId="0" fontId="37" fillId="0" borderId="8" xfId="7" applyFont="1" applyBorder="1" applyAlignment="1">
      <alignment horizontal="center" vertical="center" wrapText="1"/>
    </xf>
    <xf numFmtId="0" fontId="37" fillId="0" borderId="4" xfId="7" applyFont="1" applyBorder="1" applyAlignment="1">
      <alignment horizontal="center" vertical="center" wrapText="1"/>
    </xf>
    <xf numFmtId="0" fontId="34" fillId="2" borderId="8" xfId="7" applyFont="1" applyFill="1" applyBorder="1" applyAlignment="1">
      <alignment horizontal="center" vertical="center" wrapText="1"/>
    </xf>
    <xf numFmtId="0" fontId="37" fillId="4" borderId="12" xfId="7" applyFont="1" applyFill="1" applyBorder="1" applyAlignment="1">
      <alignment horizontal="center" vertical="center" wrapText="1"/>
    </xf>
    <xf numFmtId="0" fontId="37" fillId="2" borderId="67" xfId="7" applyFont="1" applyFill="1" applyBorder="1" applyAlignment="1">
      <alignment horizontal="center" vertical="center" wrapText="1"/>
    </xf>
    <xf numFmtId="0" fontId="1" fillId="0" borderId="0" xfId="7" applyAlignment="1">
      <alignment vertical="center"/>
    </xf>
    <xf numFmtId="0" fontId="34" fillId="0" borderId="47" xfId="7" applyFont="1" applyBorder="1" applyAlignment="1">
      <alignment horizontal="center" vertical="center" wrapText="1"/>
    </xf>
    <xf numFmtId="0" fontId="34" fillId="0" borderId="7" xfId="7" applyFont="1" applyBorder="1" applyAlignment="1">
      <alignment horizontal="center" vertical="center" wrapText="1"/>
    </xf>
    <xf numFmtId="0" fontId="34" fillId="0" borderId="35" xfId="7" applyFont="1" applyBorder="1" applyAlignment="1">
      <alignment horizontal="center" vertical="center" wrapText="1"/>
    </xf>
    <xf numFmtId="0" fontId="35" fillId="0" borderId="39" xfId="7" applyFont="1" applyBorder="1" applyAlignment="1">
      <alignment horizontal="center" vertical="center" wrapText="1"/>
    </xf>
    <xf numFmtId="0" fontId="34" fillId="0" borderId="33" xfId="7" applyFont="1" applyBorder="1" applyAlignment="1">
      <alignment horizontal="center" vertical="center" wrapText="1"/>
    </xf>
    <xf numFmtId="0" fontId="35" fillId="0" borderId="7" xfId="7" applyFont="1" applyBorder="1" applyAlignment="1">
      <alignment horizontal="center" vertical="center" wrapText="1"/>
    </xf>
    <xf numFmtId="0" fontId="36" fillId="0" borderId="33" xfId="7" applyFont="1" applyBorder="1" applyAlignment="1">
      <alignment horizontal="center" vertical="center" wrapText="1"/>
    </xf>
    <xf numFmtId="0" fontId="36" fillId="0" borderId="35" xfId="7" applyFont="1" applyBorder="1" applyAlignment="1">
      <alignment horizontal="center" vertical="center" wrapText="1"/>
    </xf>
    <xf numFmtId="0" fontId="38" fillId="0" borderId="35" xfId="7" applyFont="1" applyBorder="1" applyAlignment="1">
      <alignment horizontal="center" vertical="center" wrapText="1"/>
    </xf>
    <xf numFmtId="0" fontId="37" fillId="0" borderId="35" xfId="7" applyFont="1" applyBorder="1" applyAlignment="1">
      <alignment horizontal="center" vertical="center" wrapText="1"/>
    </xf>
    <xf numFmtId="0" fontId="37" fillId="0" borderId="7" xfId="7" applyFont="1" applyBorder="1" applyAlignment="1">
      <alignment horizontal="center" vertical="center" wrapText="1"/>
    </xf>
    <xf numFmtId="0" fontId="37" fillId="4" borderId="29" xfId="7" applyFont="1" applyFill="1" applyBorder="1" applyAlignment="1">
      <alignment horizontal="center" vertical="center" wrapText="1"/>
    </xf>
    <xf numFmtId="0" fontId="37" fillId="2" borderId="36" xfId="7" applyFont="1" applyFill="1" applyBorder="1" applyAlignment="1">
      <alignment horizontal="center" vertical="center" wrapText="1"/>
    </xf>
    <xf numFmtId="0" fontId="1" fillId="0" borderId="0" xfId="7" applyAlignment="1">
      <alignment horizontal="center" vertical="center" wrapText="1"/>
    </xf>
    <xf numFmtId="3" fontId="40" fillId="4" borderId="13" xfId="7" applyNumberFormat="1" applyFont="1" applyFill="1" applyBorder="1" applyAlignment="1">
      <alignment vertical="center"/>
    </xf>
    <xf numFmtId="3" fontId="41" fillId="2" borderId="58" xfId="7" applyNumberFormat="1" applyFont="1" applyFill="1" applyBorder="1" applyAlignment="1">
      <alignment vertical="center"/>
    </xf>
    <xf numFmtId="0" fontId="42" fillId="0" borderId="0" xfId="7" applyFont="1" applyAlignment="1">
      <alignment vertical="center"/>
    </xf>
    <xf numFmtId="0" fontId="43" fillId="0" borderId="51" xfId="7" quotePrefix="1" applyFont="1" applyBorder="1" applyAlignment="1">
      <alignment horizontal="center" vertical="center"/>
    </xf>
    <xf numFmtId="0" fontId="43" fillId="0" borderId="31" xfId="7" applyFont="1" applyBorder="1" applyAlignment="1">
      <alignment vertical="center"/>
    </xf>
    <xf numFmtId="167" fontId="44" fillId="8" borderId="5" xfId="7" applyNumberFormat="1" applyFont="1" applyFill="1" applyBorder="1" applyAlignment="1">
      <alignment vertical="center"/>
    </xf>
    <xf numFmtId="3" fontId="45" fillId="0" borderId="5" xfId="7" applyNumberFormat="1" applyFont="1" applyBorder="1" applyAlignment="1">
      <alignment vertical="center"/>
    </xf>
    <xf numFmtId="3" fontId="44" fillId="0" borderId="5" xfId="7" applyNumberFormat="1" applyFont="1" applyBorder="1" applyAlignment="1">
      <alignment vertical="center"/>
    </xf>
    <xf numFmtId="3" fontId="46" fillId="0" borderId="5" xfId="7" applyNumberFormat="1" applyFont="1" applyBorder="1" applyAlignment="1">
      <alignment vertical="center"/>
    </xf>
    <xf numFmtId="3" fontId="47" fillId="0" borderId="5" xfId="7" applyNumberFormat="1" applyFont="1" applyBorder="1" applyAlignment="1">
      <alignment vertical="center"/>
    </xf>
    <xf numFmtId="166" fontId="44" fillId="2" borderId="31" xfId="7" applyNumberFormat="1" applyFont="1" applyFill="1" applyBorder="1" applyAlignment="1">
      <alignment vertical="center"/>
    </xf>
    <xf numFmtId="3" fontId="44" fillId="0" borderId="31" xfId="7" applyNumberFormat="1" applyFont="1" applyBorder="1" applyAlignment="1">
      <alignment vertical="center"/>
    </xf>
    <xf numFmtId="3" fontId="45" fillId="0" borderId="31" xfId="7" applyNumberFormat="1" applyFont="1" applyBorder="1" applyAlignment="1">
      <alignment vertical="center"/>
    </xf>
    <xf numFmtId="3" fontId="46" fillId="0" borderId="31" xfId="7" applyNumberFormat="1" applyFont="1" applyBorder="1" applyAlignment="1">
      <alignment vertical="center"/>
    </xf>
    <xf numFmtId="3" fontId="47" fillId="0" borderId="31" xfId="7" applyNumberFormat="1" applyFont="1" applyBorder="1" applyAlignment="1">
      <alignment vertical="center"/>
    </xf>
    <xf numFmtId="166" fontId="44" fillId="4" borderId="37" xfId="7" applyNumberFormat="1" applyFont="1" applyFill="1" applyBorder="1" applyAlignment="1">
      <alignment vertical="center"/>
    </xf>
    <xf numFmtId="3" fontId="46" fillId="2" borderId="31" xfId="7" applyNumberFormat="1" applyFont="1" applyFill="1" applyBorder="1" applyAlignment="1">
      <alignment vertical="center"/>
    </xf>
    <xf numFmtId="166" fontId="44" fillId="4" borderId="31" xfId="7" applyNumberFormat="1" applyFont="1" applyFill="1" applyBorder="1" applyAlignment="1">
      <alignment vertical="center"/>
    </xf>
    <xf numFmtId="16" fontId="43" fillId="0" borderId="51" xfId="7" quotePrefix="1" applyNumberFormat="1" applyFont="1" applyBorder="1" applyAlignment="1">
      <alignment horizontal="center" vertical="center"/>
    </xf>
    <xf numFmtId="167" fontId="44" fillId="0" borderId="31" xfId="7" applyNumberFormat="1" applyFont="1" applyBorder="1" applyAlignment="1">
      <alignment vertical="center"/>
    </xf>
    <xf numFmtId="3" fontId="49" fillId="0" borderId="68" xfId="7" applyNumberFormat="1" applyFont="1" applyBorder="1" applyAlignment="1">
      <alignment horizontal="center" vertical="center" wrapText="1"/>
    </xf>
    <xf numFmtId="166" fontId="51" fillId="4" borderId="13" xfId="7" applyNumberFormat="1" applyFont="1" applyFill="1" applyBorder="1" applyAlignment="1">
      <alignment vertical="center"/>
    </xf>
    <xf numFmtId="166" fontId="41" fillId="2" borderId="58" xfId="7" applyNumberFormat="1" applyFont="1" applyFill="1" applyBorder="1" applyAlignment="1">
      <alignment vertical="center"/>
    </xf>
    <xf numFmtId="0" fontId="30" fillId="0" borderId="0" xfId="7" applyFont="1" applyAlignment="1">
      <alignment vertical="center"/>
    </xf>
    <xf numFmtId="0" fontId="43" fillId="0" borderId="55" xfId="7" quotePrefix="1" applyFont="1" applyBorder="1" applyAlignment="1">
      <alignment horizontal="center" vertical="center"/>
    </xf>
    <xf numFmtId="0" fontId="43" fillId="0" borderId="5" xfId="7" applyFont="1" applyBorder="1" applyAlignment="1">
      <alignment vertical="center"/>
    </xf>
    <xf numFmtId="167" fontId="44" fillId="0" borderId="5" xfId="7" applyNumberFormat="1" applyFont="1" applyBorder="1" applyAlignment="1">
      <alignment vertical="center"/>
    </xf>
    <xf numFmtId="3" fontId="53" fillId="0" borderId="5" xfId="7" applyNumberFormat="1" applyFont="1" applyBorder="1" applyAlignment="1">
      <alignment vertical="center"/>
    </xf>
    <xf numFmtId="3" fontId="54" fillId="0" borderId="5" xfId="7" applyNumberFormat="1" applyFont="1" applyBorder="1" applyAlignment="1">
      <alignment vertical="center"/>
    </xf>
    <xf numFmtId="3" fontId="48" fillId="0" borderId="5" xfId="7" applyNumberFormat="1" applyFont="1" applyBorder="1" applyAlignment="1">
      <alignment vertical="center"/>
    </xf>
    <xf numFmtId="3" fontId="46" fillId="2" borderId="5" xfId="7" applyNumberFormat="1" applyFont="1" applyFill="1" applyBorder="1" applyAlignment="1">
      <alignment vertical="center"/>
    </xf>
    <xf numFmtId="166" fontId="55" fillId="0" borderId="31" xfId="7" applyNumberFormat="1" applyFont="1" applyBorder="1" applyAlignment="1">
      <alignment vertical="center"/>
    </xf>
    <xf numFmtId="166" fontId="44" fillId="4" borderId="38" xfId="7" applyNumberFormat="1" applyFont="1" applyFill="1" applyBorder="1" applyAlignment="1">
      <alignment vertical="center"/>
    </xf>
    <xf numFmtId="166" fontId="49" fillId="2" borderId="6" xfId="7" applyNumberFormat="1" applyFont="1" applyFill="1" applyBorder="1" applyAlignment="1">
      <alignment horizontal="center" vertical="center" wrapText="1"/>
    </xf>
    <xf numFmtId="0" fontId="43" fillId="0" borderId="57" xfId="7" quotePrefix="1" applyFont="1" applyBorder="1" applyAlignment="1">
      <alignment horizontal="center" vertical="center"/>
    </xf>
    <xf numFmtId="0" fontId="43" fillId="0" borderId="35" xfId="7" applyFont="1" applyBorder="1" applyAlignment="1">
      <alignment vertical="center" wrapText="1"/>
    </xf>
    <xf numFmtId="167" fontId="44" fillId="0" borderId="35" xfId="7" applyNumberFormat="1" applyFont="1" applyBorder="1" applyAlignment="1">
      <alignment vertical="center"/>
    </xf>
    <xf numFmtId="3" fontId="45" fillId="0" borderId="35" xfId="7" applyNumberFormat="1" applyFont="1" applyBorder="1" applyAlignment="1">
      <alignment vertical="center"/>
    </xf>
    <xf numFmtId="3" fontId="44" fillId="0" borderId="35" xfId="7" applyNumberFormat="1" applyFont="1" applyBorder="1" applyAlignment="1">
      <alignment vertical="center"/>
    </xf>
    <xf numFmtId="3" fontId="44" fillId="2" borderId="35" xfId="7" applyNumberFormat="1" applyFont="1" applyFill="1" applyBorder="1" applyAlignment="1">
      <alignment vertical="center"/>
    </xf>
    <xf numFmtId="3" fontId="45" fillId="2" borderId="35" xfId="7" applyNumberFormat="1" applyFont="1" applyFill="1" applyBorder="1" applyAlignment="1">
      <alignment vertical="center"/>
    </xf>
    <xf numFmtId="3" fontId="53" fillId="2" borderId="35" xfId="7" applyNumberFormat="1" applyFont="1" applyFill="1" applyBorder="1" applyAlignment="1">
      <alignment vertical="center"/>
    </xf>
    <xf numFmtId="3" fontId="54" fillId="2" borderId="35" xfId="7" applyNumberFormat="1" applyFont="1" applyFill="1" applyBorder="1" applyAlignment="1">
      <alignment vertical="center"/>
    </xf>
    <xf numFmtId="3" fontId="48" fillId="0" borderId="35" xfId="7" applyNumberFormat="1" applyFont="1" applyBorder="1" applyAlignment="1">
      <alignment vertical="center"/>
    </xf>
    <xf numFmtId="3" fontId="46" fillId="2" borderId="35" xfId="7" applyNumberFormat="1" applyFont="1" applyFill="1" applyBorder="1" applyAlignment="1">
      <alignment vertical="center"/>
    </xf>
    <xf numFmtId="166" fontId="44" fillId="4" borderId="29" xfId="7" applyNumberFormat="1" applyFont="1" applyFill="1" applyBorder="1" applyAlignment="1">
      <alignment vertical="center"/>
    </xf>
    <xf numFmtId="166" fontId="49" fillId="2" borderId="10" xfId="7" applyNumberFormat="1" applyFont="1" applyFill="1" applyBorder="1" applyAlignment="1">
      <alignment horizontal="center" vertical="center" wrapText="1"/>
    </xf>
    <xf numFmtId="0" fontId="43" fillId="0" borderId="5" xfId="7" applyFont="1" applyBorder="1" applyAlignment="1">
      <alignment vertical="center" wrapText="1"/>
    </xf>
    <xf numFmtId="167" fontId="48" fillId="0" borderId="5" xfId="7" applyNumberFormat="1" applyFont="1" applyBorder="1" applyAlignment="1">
      <alignment vertical="center"/>
    </xf>
    <xf numFmtId="166" fontId="44" fillId="0" borderId="31" xfId="7" applyNumberFormat="1" applyFont="1" applyBorder="1" applyAlignment="1">
      <alignment vertical="center"/>
    </xf>
    <xf numFmtId="166" fontId="49" fillId="2" borderId="67" xfId="7" applyNumberFormat="1" applyFont="1" applyFill="1" applyBorder="1" applyAlignment="1">
      <alignment horizontal="center" vertical="center" wrapText="1"/>
    </xf>
    <xf numFmtId="166" fontId="56" fillId="2" borderId="32" xfId="7" applyNumberFormat="1" applyFont="1" applyFill="1" applyBorder="1" applyAlignment="1">
      <alignment horizontal="center" vertical="center" wrapText="1"/>
    </xf>
    <xf numFmtId="166" fontId="49" fillId="2" borderId="36" xfId="7" applyNumberFormat="1" applyFont="1" applyFill="1" applyBorder="1" applyAlignment="1">
      <alignment horizontal="center" vertical="center" wrapText="1"/>
    </xf>
    <xf numFmtId="3" fontId="53" fillId="0" borderId="31" xfId="7" applyNumberFormat="1" applyFont="1" applyBorder="1" applyAlignment="1">
      <alignment vertical="center"/>
    </xf>
    <xf numFmtId="3" fontId="54" fillId="0" borderId="31" xfId="7" applyNumberFormat="1" applyFont="1" applyBorder="1" applyAlignment="1">
      <alignment vertical="center"/>
    </xf>
    <xf numFmtId="166" fontId="56" fillId="0" borderId="58" xfId="7" applyNumberFormat="1" applyFont="1" applyBorder="1" applyAlignment="1">
      <alignment horizontal="center" vertical="center" wrapText="1"/>
    </xf>
    <xf numFmtId="3" fontId="53" fillId="2" borderId="5" xfId="7" applyNumberFormat="1" applyFont="1" applyFill="1" applyBorder="1" applyAlignment="1">
      <alignment vertical="center"/>
    </xf>
    <xf numFmtId="3" fontId="54" fillId="2" borderId="5" xfId="7" applyNumberFormat="1" applyFont="1" applyFill="1" applyBorder="1" applyAlignment="1">
      <alignment vertical="center"/>
    </xf>
    <xf numFmtId="166" fontId="51" fillId="4" borderId="23" xfId="7" applyNumberFormat="1" applyFont="1" applyFill="1" applyBorder="1" applyAlignment="1">
      <alignment vertical="center"/>
    </xf>
    <xf numFmtId="166" fontId="41" fillId="2" borderId="10" xfId="7" applyNumberFormat="1" applyFont="1" applyFill="1" applyBorder="1" applyAlignment="1">
      <alignment vertical="center"/>
    </xf>
    <xf numFmtId="0" fontId="43" fillId="12" borderId="55" xfId="7" quotePrefix="1" applyFont="1" applyFill="1" applyBorder="1" applyAlignment="1">
      <alignment horizontal="center" vertical="center"/>
    </xf>
    <xf numFmtId="3" fontId="45" fillId="2" borderId="5" xfId="7" applyNumberFormat="1" applyFont="1" applyFill="1" applyBorder="1" applyAlignment="1">
      <alignment vertical="center"/>
    </xf>
    <xf numFmtId="3" fontId="44" fillId="2" borderId="5" xfId="7" applyNumberFormat="1" applyFont="1" applyFill="1" applyBorder="1" applyAlignment="1">
      <alignment vertical="center"/>
    </xf>
    <xf numFmtId="3" fontId="44" fillId="12" borderId="5" xfId="7" applyNumberFormat="1" applyFont="1" applyFill="1" applyBorder="1" applyAlignment="1">
      <alignment vertical="center"/>
    </xf>
    <xf numFmtId="166" fontId="49" fillId="2" borderId="6" xfId="7" applyNumberFormat="1" applyFont="1" applyFill="1" applyBorder="1" applyAlignment="1">
      <alignment horizontal="center" vertical="center" wrapText="1"/>
    </xf>
    <xf numFmtId="0" fontId="1" fillId="12" borderId="0" xfId="7" applyFill="1" applyAlignment="1">
      <alignment vertical="center"/>
    </xf>
    <xf numFmtId="0" fontId="43" fillId="0" borderId="51" xfId="7" quotePrefix="1" applyFont="1" applyBorder="1" applyAlignment="1">
      <alignment horizontal="center" vertical="center" wrapText="1"/>
    </xf>
    <xf numFmtId="0" fontId="43" fillId="0" borderId="31" xfId="7" applyFont="1" applyBorder="1" applyAlignment="1">
      <alignment vertical="center" wrapText="1"/>
    </xf>
    <xf numFmtId="3" fontId="51" fillId="0" borderId="31" xfId="7" applyNumberFormat="1" applyFont="1" applyBorder="1" applyAlignment="1">
      <alignment vertical="center"/>
    </xf>
    <xf numFmtId="166" fontId="48" fillId="0" borderId="31" xfId="7" applyNumberFormat="1" applyFont="1" applyBorder="1" applyAlignment="1">
      <alignment vertical="center"/>
    </xf>
    <xf numFmtId="166" fontId="49" fillId="2" borderId="32" xfId="7" applyNumberFormat="1" applyFont="1" applyFill="1" applyBorder="1" applyAlignment="1">
      <alignment horizontal="center" vertical="center" wrapText="1"/>
    </xf>
    <xf numFmtId="166" fontId="44" fillId="4" borderId="13" xfId="7" applyNumberFormat="1" applyFont="1" applyFill="1" applyBorder="1" applyAlignment="1">
      <alignment vertical="center"/>
    </xf>
    <xf numFmtId="166" fontId="56" fillId="0" borderId="6" xfId="7" applyNumberFormat="1" applyFont="1" applyBorder="1" applyAlignment="1">
      <alignment horizontal="center" vertical="center" wrapText="1"/>
    </xf>
    <xf numFmtId="166" fontId="56" fillId="2" borderId="6" xfId="7" applyNumberFormat="1" applyFont="1" applyFill="1" applyBorder="1" applyAlignment="1">
      <alignment horizontal="center" vertical="center" wrapText="1"/>
    </xf>
    <xf numFmtId="0" fontId="41" fillId="12" borderId="44" xfId="7" applyFont="1" applyFill="1" applyBorder="1" applyAlignment="1">
      <alignment horizontal="center" vertical="center"/>
    </xf>
    <xf numFmtId="0" fontId="62" fillId="12" borderId="9" xfId="7" applyFont="1" applyFill="1" applyBorder="1" applyAlignment="1">
      <alignment vertical="center"/>
    </xf>
    <xf numFmtId="167" fontId="51" fillId="0" borderId="9" xfId="7" applyNumberFormat="1" applyFont="1" applyBorder="1" applyAlignment="1">
      <alignment vertical="center"/>
    </xf>
    <xf numFmtId="3" fontId="51" fillId="12" borderId="9" xfId="7" applyNumberFormat="1" applyFont="1" applyFill="1" applyBorder="1" applyAlignment="1">
      <alignment vertical="center"/>
    </xf>
    <xf numFmtId="166" fontId="51" fillId="12" borderId="9" xfId="7" applyNumberFormat="1" applyFont="1" applyFill="1" applyBorder="1" applyAlignment="1">
      <alignment vertical="center"/>
    </xf>
    <xf numFmtId="3" fontId="51" fillId="4" borderId="13" xfId="7" applyNumberFormat="1" applyFont="1" applyFill="1" applyBorder="1" applyAlignment="1">
      <alignment vertical="center"/>
    </xf>
    <xf numFmtId="0" fontId="63" fillId="12" borderId="0" xfId="7" applyFont="1" applyFill="1" applyAlignment="1">
      <alignment vertical="center"/>
    </xf>
    <xf numFmtId="0" fontId="41" fillId="12" borderId="0" xfId="7" applyFont="1" applyFill="1" applyAlignment="1">
      <alignment horizontal="center" vertical="center"/>
    </xf>
    <xf numFmtId="0" fontId="62" fillId="12" borderId="0" xfId="7" applyFont="1" applyFill="1" applyAlignment="1">
      <alignment vertical="center"/>
    </xf>
    <xf numFmtId="4" fontId="64" fillId="0" borderId="0" xfId="7" applyNumberFormat="1" applyFont="1" applyAlignment="1">
      <alignment vertical="center"/>
    </xf>
    <xf numFmtId="3" fontId="64" fillId="12" borderId="0" xfId="7" applyNumberFormat="1" applyFont="1" applyFill="1" applyAlignment="1">
      <alignment vertical="center"/>
    </xf>
    <xf numFmtId="166" fontId="64" fillId="12" borderId="0" xfId="7" applyNumberFormat="1" applyFont="1" applyFill="1" applyAlignment="1">
      <alignment vertical="center"/>
    </xf>
    <xf numFmtId="3" fontId="64" fillId="0" borderId="0" xfId="7" applyNumberFormat="1" applyFont="1" applyAlignment="1">
      <alignment vertical="center"/>
    </xf>
    <xf numFmtId="166" fontId="41" fillId="2" borderId="0" xfId="7" applyNumberFormat="1" applyFont="1" applyFill="1" applyAlignment="1">
      <alignment vertical="center"/>
    </xf>
    <xf numFmtId="3" fontId="62" fillId="0" borderId="0" xfId="7" applyNumberFormat="1" applyFont="1" applyAlignment="1">
      <alignment horizontal="left" vertical="center"/>
    </xf>
    <xf numFmtId="0" fontId="39" fillId="11" borderId="44" xfId="7" quotePrefix="1" applyFont="1" applyFill="1" applyBorder="1" applyAlignment="1">
      <alignment horizontal="center" vertical="center"/>
    </xf>
    <xf numFmtId="0" fontId="39" fillId="11" borderId="9" xfId="7" applyFont="1" applyFill="1" applyBorder="1" applyAlignment="1">
      <alignment vertical="center" wrapText="1"/>
    </xf>
    <xf numFmtId="167" fontId="40" fillId="11" borderId="9" xfId="7" applyNumberFormat="1" applyFont="1" applyFill="1" applyBorder="1" applyAlignment="1">
      <alignment vertical="center"/>
    </xf>
    <xf numFmtId="3" fontId="40" fillId="11" borderId="9" xfId="7" applyNumberFormat="1" applyFont="1" applyFill="1" applyBorder="1" applyAlignment="1">
      <alignment vertical="center"/>
    </xf>
    <xf numFmtId="166" fontId="40" fillId="11" borderId="9" xfId="7" applyNumberFormat="1" applyFont="1" applyFill="1" applyBorder="1" applyAlignment="1">
      <alignment vertical="center"/>
    </xf>
    <xf numFmtId="0" fontId="50" fillId="11" borderId="44" xfId="7" quotePrefix="1" applyFont="1" applyFill="1" applyBorder="1" applyAlignment="1">
      <alignment horizontal="center" vertical="center"/>
    </xf>
    <xf numFmtId="0" fontId="50" fillId="11" borderId="9" xfId="7" applyFont="1" applyFill="1" applyBorder="1" applyAlignment="1">
      <alignment vertical="center" wrapText="1"/>
    </xf>
    <xf numFmtId="167" fontId="51" fillId="11" borderId="9" xfId="7" applyNumberFormat="1" applyFont="1" applyFill="1" applyBorder="1" applyAlignment="1">
      <alignment vertical="center"/>
    </xf>
    <xf numFmtId="3" fontId="51" fillId="11" borderId="9" xfId="7" applyNumberFormat="1" applyFont="1" applyFill="1" applyBorder="1" applyAlignment="1">
      <alignment vertical="center"/>
    </xf>
    <xf numFmtId="166" fontId="52" fillId="11" borderId="9" xfId="7" applyNumberFormat="1" applyFont="1" applyFill="1" applyBorder="1" applyAlignment="1">
      <alignment vertical="center"/>
    </xf>
    <xf numFmtId="166" fontId="51" fillId="11" borderId="9" xfId="7" applyNumberFormat="1" applyFont="1" applyFill="1" applyBorder="1" applyAlignment="1">
      <alignment vertical="center"/>
    </xf>
    <xf numFmtId="0" fontId="43" fillId="11" borderId="55" xfId="1" quotePrefix="1" applyFont="1" applyFill="1" applyBorder="1" applyAlignment="1">
      <alignment horizontal="center" vertical="center" wrapText="1"/>
    </xf>
    <xf numFmtId="0" fontId="43" fillId="11" borderId="5" xfId="1" applyFont="1" applyFill="1" applyBorder="1" applyAlignment="1">
      <alignment vertical="center"/>
    </xf>
    <xf numFmtId="167" fontId="44" fillId="11" borderId="5" xfId="7" applyNumberFormat="1" applyFont="1" applyFill="1" applyBorder="1" applyAlignment="1">
      <alignment vertical="center"/>
    </xf>
    <xf numFmtId="3" fontId="45" fillId="11" borderId="5" xfId="7" applyNumberFormat="1" applyFont="1" applyFill="1" applyBorder="1" applyAlignment="1">
      <alignment vertical="center"/>
    </xf>
    <xf numFmtId="3" fontId="44" fillId="11" borderId="5" xfId="7" applyNumberFormat="1" applyFont="1" applyFill="1" applyBorder="1" applyAlignment="1">
      <alignment vertical="center"/>
    </xf>
    <xf numFmtId="3" fontId="46" fillId="11" borderId="5" xfId="7" applyNumberFormat="1" applyFont="1" applyFill="1" applyBorder="1" applyAlignment="1">
      <alignment vertical="center"/>
    </xf>
    <xf numFmtId="3" fontId="47" fillId="11" borderId="5" xfId="7" applyNumberFormat="1" applyFont="1" applyFill="1" applyBorder="1" applyAlignment="1">
      <alignment vertical="center"/>
    </xf>
    <xf numFmtId="166" fontId="40" fillId="11" borderId="31" xfId="7" applyNumberFormat="1" applyFont="1" applyFill="1" applyBorder="1" applyAlignment="1">
      <alignment vertical="center"/>
    </xf>
    <xf numFmtId="3" fontId="46" fillId="11" borderId="9" xfId="7" applyNumberFormat="1" applyFont="1" applyFill="1" applyBorder="1" applyAlignment="1">
      <alignment vertical="center"/>
    </xf>
    <xf numFmtId="3" fontId="59" fillId="11" borderId="9" xfId="7" applyNumberFormat="1" applyFont="1" applyFill="1" applyBorder="1" applyAlignment="1">
      <alignment vertical="center"/>
    </xf>
    <xf numFmtId="3" fontId="60" fillId="11" borderId="9" xfId="7" applyNumberFormat="1" applyFont="1" applyFill="1" applyBorder="1" applyAlignment="1">
      <alignment vertical="center"/>
    </xf>
    <xf numFmtId="3" fontId="53" fillId="11" borderId="9" xfId="7" applyNumberFormat="1" applyFont="1" applyFill="1" applyBorder="1" applyAlignment="1">
      <alignment vertical="center"/>
    </xf>
    <xf numFmtId="0" fontId="57" fillId="11" borderId="47" xfId="7" quotePrefix="1" applyFont="1" applyFill="1" applyBorder="1" applyAlignment="1">
      <alignment horizontal="center" vertical="center"/>
    </xf>
    <xf numFmtId="0" fontId="57" fillId="11" borderId="7" xfId="7" applyFont="1" applyFill="1" applyBorder="1" applyAlignment="1">
      <alignment vertical="center" wrapText="1"/>
    </xf>
    <xf numFmtId="167" fontId="46" fillId="11" borderId="7" xfId="7" applyNumberFormat="1" applyFont="1" applyFill="1" applyBorder="1" applyAlignment="1">
      <alignment vertical="center"/>
    </xf>
    <xf numFmtId="3" fontId="46" fillId="11" borderId="7" xfId="7" applyNumberFormat="1" applyFont="1" applyFill="1" applyBorder="1" applyAlignment="1">
      <alignment vertical="center"/>
    </xf>
    <xf numFmtId="166" fontId="46" fillId="11" borderId="7" xfId="7" applyNumberFormat="1" applyFont="1" applyFill="1" applyBorder="1" applyAlignment="1">
      <alignment vertical="center"/>
    </xf>
    <xf numFmtId="0" fontId="61" fillId="11" borderId="44" xfId="7" quotePrefix="1" applyFont="1" applyFill="1" applyBorder="1" applyAlignment="1">
      <alignment horizontal="center" vertical="center"/>
    </xf>
    <xf numFmtId="3" fontId="54" fillId="11" borderId="9" xfId="7" applyNumberFormat="1" applyFont="1" applyFill="1" applyBorder="1" applyAlignment="1">
      <alignment vertical="center"/>
    </xf>
    <xf numFmtId="166" fontId="48" fillId="11" borderId="9" xfId="7" applyNumberFormat="1" applyFont="1" applyFill="1" applyBorder="1" applyAlignment="1">
      <alignment vertical="center"/>
    </xf>
    <xf numFmtId="49" fontId="61" fillId="11" borderId="44" xfId="7" quotePrefix="1" applyNumberFormat="1" applyFont="1" applyFill="1" applyBorder="1" applyAlignment="1">
      <alignment horizontal="center" vertical="center"/>
    </xf>
    <xf numFmtId="166" fontId="46" fillId="11" borderId="9" xfId="7" applyNumberFormat="1" applyFont="1" applyFill="1" applyBorder="1" applyAlignment="1">
      <alignment vertical="center"/>
    </xf>
  </cellXfs>
  <cellStyles count="9">
    <cellStyle name="Dziesiętny 2" xfId="3" xr:uid="{00000000-0005-0000-0000-000000000000}"/>
    <cellStyle name="Dziesiętny 2 2" xfId="5" xr:uid="{00000000-0005-0000-0000-000001000000}"/>
    <cellStyle name="Dziesiętny 3" xfId="8" xr:uid="{63773126-6451-45A6-A2B6-BD7F7B450062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7" xr:uid="{EBE69387-2A90-4029-8B34-CFD67EEADD2F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FF00FF"/>
      <color rgb="FFFFFFCC"/>
      <color rgb="FFFFFFFF"/>
      <color rgb="FFCCFF99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abSelected="1" zoomScale="70" zoomScaleNormal="70" workbookViewId="0">
      <selection activeCell="B24" sqref="B24"/>
    </sheetView>
  </sheetViews>
  <sheetFormatPr defaultColWidth="9.140625" defaultRowHeight="15"/>
  <cols>
    <col min="1" max="1" width="15.28515625" style="6" customWidth="1"/>
    <col min="2" max="2" width="89" style="5" customWidth="1"/>
    <col min="3" max="3" width="20.85546875" style="5" customWidth="1"/>
    <col min="4" max="5" width="21.42578125" style="5" customWidth="1"/>
    <col min="6" max="10" width="19.28515625" style="7" customWidth="1"/>
    <col min="11" max="11" width="20.85546875" style="7" customWidth="1"/>
    <col min="12" max="12" width="17.7109375" style="8" customWidth="1"/>
    <col min="13" max="13" width="43.85546875" style="5" customWidth="1"/>
    <col min="14" max="16384" width="9.140625" style="5"/>
  </cols>
  <sheetData>
    <row r="1" spans="1:13" ht="18.75">
      <c r="A1" s="30"/>
      <c r="B1" s="30"/>
      <c r="C1" s="30"/>
      <c r="D1" s="30"/>
      <c r="E1" s="30"/>
      <c r="F1" s="30"/>
      <c r="G1" s="35"/>
      <c r="H1" s="195" t="s">
        <v>141</v>
      </c>
      <c r="I1" s="195"/>
      <c r="J1" s="195"/>
      <c r="K1" s="195"/>
      <c r="L1" s="195"/>
      <c r="M1" s="195"/>
    </row>
    <row r="2" spans="1:13" ht="18.75">
      <c r="A2" s="30"/>
      <c r="B2" s="30"/>
      <c r="C2" s="30"/>
      <c r="D2" s="30"/>
      <c r="E2" s="30"/>
      <c r="F2" s="30"/>
      <c r="G2" s="110"/>
      <c r="H2" s="216" t="s">
        <v>139</v>
      </c>
      <c r="I2" s="216"/>
      <c r="J2" s="216"/>
      <c r="K2" s="216"/>
      <c r="L2" s="216"/>
      <c r="M2" s="216"/>
    </row>
    <row r="3" spans="1:13" ht="52.5" customHeight="1" thickBot="1">
      <c r="A3" s="210" t="s">
        <v>110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</row>
    <row r="4" spans="1:13" ht="27.75" customHeight="1">
      <c r="A4" s="197" t="s">
        <v>51</v>
      </c>
      <c r="B4" s="197" t="s">
        <v>0</v>
      </c>
      <c r="C4" s="199" t="s">
        <v>133</v>
      </c>
      <c r="D4" s="201" t="s">
        <v>136</v>
      </c>
      <c r="E4" s="203" t="s">
        <v>134</v>
      </c>
      <c r="F4" s="205" t="s">
        <v>17</v>
      </c>
      <c r="G4" s="205"/>
      <c r="H4" s="205"/>
      <c r="I4" s="205"/>
      <c r="J4" s="205"/>
      <c r="K4" s="205"/>
      <c r="L4" s="206" t="s">
        <v>111</v>
      </c>
      <c r="M4" s="208" t="s">
        <v>1</v>
      </c>
    </row>
    <row r="5" spans="1:13" ht="102.75" customHeight="1" thickBot="1">
      <c r="A5" s="198"/>
      <c r="B5" s="198"/>
      <c r="C5" s="200"/>
      <c r="D5" s="202"/>
      <c r="E5" s="204"/>
      <c r="F5" s="41" t="s">
        <v>19</v>
      </c>
      <c r="G5" s="42" t="s">
        <v>18</v>
      </c>
      <c r="H5" s="41" t="s">
        <v>20</v>
      </c>
      <c r="I5" s="41" t="s">
        <v>117</v>
      </c>
      <c r="J5" s="41" t="s">
        <v>16</v>
      </c>
      <c r="K5" s="41" t="s">
        <v>21</v>
      </c>
      <c r="L5" s="207"/>
      <c r="M5" s="209"/>
    </row>
    <row r="6" spans="1:13" s="1" customFormat="1" ht="54" customHeight="1" thickBot="1">
      <c r="A6" s="121"/>
      <c r="B6" s="122" t="s">
        <v>49</v>
      </c>
      <c r="C6" s="155">
        <f>SUM(C7:C20)</f>
        <v>27979.7</v>
      </c>
      <c r="D6" s="146">
        <f>SUM(D7:D20)</f>
        <v>13048000</v>
      </c>
      <c r="E6" s="146">
        <f t="shared" ref="E6" si="0">SUM(F6:K6)</f>
        <v>13049268.869999999</v>
      </c>
      <c r="F6" s="147">
        <f t="shared" ref="F6:L6" si="1">SUM(F7:F20)</f>
        <v>2225543</v>
      </c>
      <c r="G6" s="147">
        <f t="shared" si="1"/>
        <v>484000</v>
      </c>
      <c r="H6" s="147">
        <f t="shared" si="1"/>
        <v>384840</v>
      </c>
      <c r="I6" s="147">
        <f t="shared" si="1"/>
        <v>0</v>
      </c>
      <c r="J6" s="147">
        <f t="shared" si="1"/>
        <v>1239128</v>
      </c>
      <c r="K6" s="147">
        <f t="shared" si="1"/>
        <v>8715757.8699999992</v>
      </c>
      <c r="L6" s="146">
        <f t="shared" si="1"/>
        <v>29249</v>
      </c>
      <c r="M6" s="123"/>
    </row>
    <row r="7" spans="1:13" s="1" customFormat="1" ht="61.5" thickBot="1">
      <c r="A7" s="138" t="s">
        <v>4</v>
      </c>
      <c r="B7" s="139" t="s">
        <v>120</v>
      </c>
      <c r="C7" s="156">
        <v>27146.03</v>
      </c>
      <c r="D7" s="148">
        <f>2646840+47793</f>
        <v>2694633</v>
      </c>
      <c r="E7" s="148">
        <f t="shared" ref="E7:E21" si="2">SUM(F7:K7)</f>
        <v>2696091</v>
      </c>
      <c r="F7" s="149">
        <f>2177750+47793</f>
        <v>2225543</v>
      </c>
      <c r="G7" s="149"/>
      <c r="H7" s="149">
        <v>373840</v>
      </c>
      <c r="I7" s="149"/>
      <c r="J7" s="149"/>
      <c r="K7" s="149">
        <f>89508+7200</f>
        <v>96708</v>
      </c>
      <c r="L7" s="148">
        <v>28604</v>
      </c>
      <c r="M7" s="211" t="s">
        <v>38</v>
      </c>
    </row>
    <row r="8" spans="1:13" s="1" customFormat="1" ht="54" customHeight="1" thickBot="1">
      <c r="A8" s="191" t="s">
        <v>5</v>
      </c>
      <c r="B8" s="192" t="s">
        <v>53</v>
      </c>
      <c r="C8" s="156"/>
      <c r="D8" s="148">
        <f>8183160-335000-112000-47793</f>
        <v>7688367</v>
      </c>
      <c r="E8" s="148">
        <f t="shared" si="2"/>
        <v>7688367</v>
      </c>
      <c r="F8" s="148"/>
      <c r="G8" s="148"/>
      <c r="H8" s="148"/>
      <c r="I8" s="148"/>
      <c r="J8" s="148"/>
      <c r="K8" s="148">
        <f>8183160-335000-112000-47793</f>
        <v>7688367</v>
      </c>
      <c r="L8" s="148"/>
      <c r="M8" s="212"/>
    </row>
    <row r="9" spans="1:13" s="1" customFormat="1" ht="54" customHeight="1" thickBot="1">
      <c r="A9" s="191" t="s">
        <v>6</v>
      </c>
      <c r="B9" s="192" t="s">
        <v>39</v>
      </c>
      <c r="C9" s="156"/>
      <c r="D9" s="148">
        <f>85000-10000</f>
        <v>75000</v>
      </c>
      <c r="E9" s="148">
        <f t="shared" si="2"/>
        <v>75000</v>
      </c>
      <c r="F9" s="148"/>
      <c r="G9" s="148"/>
      <c r="H9" s="148"/>
      <c r="I9" s="148"/>
      <c r="J9" s="148">
        <f>54000-10000</f>
        <v>44000</v>
      </c>
      <c r="K9" s="148">
        <v>31000</v>
      </c>
      <c r="L9" s="148"/>
      <c r="M9" s="213" t="s">
        <v>121</v>
      </c>
    </row>
    <row r="10" spans="1:13" s="1" customFormat="1" ht="54" customHeight="1" thickBot="1">
      <c r="A10" s="191" t="s">
        <v>7</v>
      </c>
      <c r="B10" s="192" t="s">
        <v>41</v>
      </c>
      <c r="C10" s="156"/>
      <c r="D10" s="148">
        <f>47000-22000</f>
        <v>25000</v>
      </c>
      <c r="E10" s="148">
        <f t="shared" si="2"/>
        <v>25000</v>
      </c>
      <c r="F10" s="148"/>
      <c r="G10" s="148"/>
      <c r="H10" s="148"/>
      <c r="I10" s="148"/>
      <c r="J10" s="148">
        <f>27000-12000</f>
        <v>15000</v>
      </c>
      <c r="K10" s="148">
        <f>20000-10000</f>
        <v>10000</v>
      </c>
      <c r="L10" s="148"/>
      <c r="M10" s="214"/>
    </row>
    <row r="11" spans="1:13" s="2" customFormat="1" ht="54" customHeight="1" thickBot="1">
      <c r="A11" s="191" t="s">
        <v>8</v>
      </c>
      <c r="B11" s="193" t="s">
        <v>13</v>
      </c>
      <c r="C11" s="156"/>
      <c r="D11" s="148">
        <v>322000</v>
      </c>
      <c r="E11" s="148">
        <f t="shared" si="2"/>
        <v>322000</v>
      </c>
      <c r="F11" s="176"/>
      <c r="G11" s="176"/>
      <c r="H11" s="176"/>
      <c r="I11" s="176"/>
      <c r="J11" s="176">
        <v>104000</v>
      </c>
      <c r="K11" s="176">
        <v>218000</v>
      </c>
      <c r="L11" s="148"/>
      <c r="M11" s="214"/>
    </row>
    <row r="12" spans="1:13" s="4" customFormat="1" ht="54" customHeight="1" thickBot="1">
      <c r="A12" s="191" t="s">
        <v>9</v>
      </c>
      <c r="B12" s="194" t="s">
        <v>37</v>
      </c>
      <c r="C12" s="156"/>
      <c r="D12" s="148">
        <f>558000-120000</f>
        <v>438000</v>
      </c>
      <c r="E12" s="148">
        <f t="shared" si="2"/>
        <v>438000</v>
      </c>
      <c r="F12" s="177"/>
      <c r="G12" s="177">
        <v>20000</v>
      </c>
      <c r="H12" s="177"/>
      <c r="I12" s="177"/>
      <c r="J12" s="177">
        <f>128000-60000</f>
        <v>68000</v>
      </c>
      <c r="K12" s="177">
        <f>410000-60000</f>
        <v>350000</v>
      </c>
      <c r="L12" s="148"/>
      <c r="M12" s="214"/>
    </row>
    <row r="13" spans="1:13" s="114" customFormat="1" ht="54" customHeight="1" thickBot="1">
      <c r="A13" s="191" t="s">
        <v>10</v>
      </c>
      <c r="B13" s="194" t="s">
        <v>115</v>
      </c>
      <c r="C13" s="156">
        <v>189.13</v>
      </c>
      <c r="D13" s="148">
        <f>394000+454000-200000</f>
        <v>648000</v>
      </c>
      <c r="E13" s="148">
        <f t="shared" si="2"/>
        <v>647810.87</v>
      </c>
      <c r="F13" s="148"/>
      <c r="G13" s="148">
        <v>324000</v>
      </c>
      <c r="H13" s="148">
        <v>5000</v>
      </c>
      <c r="I13" s="148"/>
      <c r="J13" s="148">
        <v>65000</v>
      </c>
      <c r="K13" s="148">
        <f>454000-200000-189.13</f>
        <v>253810.87</v>
      </c>
      <c r="L13" s="148"/>
      <c r="M13" s="214"/>
    </row>
    <row r="14" spans="1:13" s="4" customFormat="1" ht="54" customHeight="1" thickBot="1">
      <c r="A14" s="191" t="s">
        <v>11</v>
      </c>
      <c r="B14" s="194" t="s">
        <v>126</v>
      </c>
      <c r="C14" s="178"/>
      <c r="D14" s="179">
        <f>126000-30000</f>
        <v>96000</v>
      </c>
      <c r="E14" s="179">
        <f t="shared" si="2"/>
        <v>96000</v>
      </c>
      <c r="F14" s="148"/>
      <c r="G14" s="148">
        <v>30000</v>
      </c>
      <c r="H14" s="148">
        <v>2000</v>
      </c>
      <c r="I14" s="148"/>
      <c r="J14" s="148">
        <f>86000-30000</f>
        <v>56000</v>
      </c>
      <c r="K14" s="148">
        <v>8000</v>
      </c>
      <c r="L14" s="148"/>
      <c r="M14" s="214"/>
    </row>
    <row r="15" spans="1:13" s="3" customFormat="1" ht="54" customHeight="1" thickBot="1">
      <c r="A15" s="191" t="s">
        <v>12</v>
      </c>
      <c r="B15" s="194" t="s">
        <v>14</v>
      </c>
      <c r="C15" s="156"/>
      <c r="D15" s="148">
        <v>75000</v>
      </c>
      <c r="E15" s="148">
        <f t="shared" si="2"/>
        <v>75000</v>
      </c>
      <c r="F15" s="148"/>
      <c r="G15" s="148">
        <v>60000</v>
      </c>
      <c r="H15" s="148"/>
      <c r="I15" s="148"/>
      <c r="J15" s="148">
        <f>2000+7000</f>
        <v>9000</v>
      </c>
      <c r="K15" s="148">
        <f>13000-7000</f>
        <v>6000</v>
      </c>
      <c r="L15" s="148"/>
      <c r="M15" s="214"/>
    </row>
    <row r="16" spans="1:13" ht="54" customHeight="1" thickBot="1">
      <c r="A16" s="141">
        <v>10</v>
      </c>
      <c r="B16" s="140" t="s">
        <v>15</v>
      </c>
      <c r="C16" s="156"/>
      <c r="D16" s="148">
        <v>1000</v>
      </c>
      <c r="E16" s="148">
        <f t="shared" si="2"/>
        <v>1000</v>
      </c>
      <c r="F16" s="148"/>
      <c r="G16" s="149"/>
      <c r="H16" s="149"/>
      <c r="I16" s="149"/>
      <c r="J16" s="149">
        <v>300</v>
      </c>
      <c r="K16" s="149">
        <v>700</v>
      </c>
      <c r="L16" s="148"/>
      <c r="M16" s="214"/>
    </row>
    <row r="17" spans="1:13" ht="54" customHeight="1" thickBot="1">
      <c r="A17" s="142" t="s">
        <v>138</v>
      </c>
      <c r="B17" s="143" t="s">
        <v>112</v>
      </c>
      <c r="C17" s="178"/>
      <c r="D17" s="179">
        <f>17000+32000</f>
        <v>49000</v>
      </c>
      <c r="E17" s="179">
        <f t="shared" si="2"/>
        <v>49000</v>
      </c>
      <c r="F17" s="179"/>
      <c r="G17" s="179"/>
      <c r="H17" s="179"/>
      <c r="I17" s="179"/>
      <c r="J17" s="179">
        <f>7000+3000+22000</f>
        <v>32000</v>
      </c>
      <c r="K17" s="179">
        <f>10000-3000+10000</f>
        <v>17000</v>
      </c>
      <c r="L17" s="179"/>
      <c r="M17" s="215"/>
    </row>
    <row r="18" spans="1:13" ht="54" customHeight="1" thickBot="1">
      <c r="A18" s="141">
        <v>13</v>
      </c>
      <c r="B18" s="140" t="s">
        <v>113</v>
      </c>
      <c r="C18" s="156"/>
      <c r="D18" s="148">
        <v>45000</v>
      </c>
      <c r="E18" s="148">
        <f t="shared" si="2"/>
        <v>45000</v>
      </c>
      <c r="F18" s="148"/>
      <c r="G18" s="149"/>
      <c r="H18" s="149"/>
      <c r="I18" s="149"/>
      <c r="J18" s="149">
        <v>45000</v>
      </c>
      <c r="K18" s="149"/>
      <c r="L18" s="148"/>
      <c r="M18" s="124" t="s">
        <v>28</v>
      </c>
    </row>
    <row r="19" spans="1:13" ht="54" customHeight="1" thickBot="1">
      <c r="A19" s="141">
        <v>14</v>
      </c>
      <c r="B19" s="140" t="s">
        <v>114</v>
      </c>
      <c r="C19" s="156">
        <v>644.54</v>
      </c>
      <c r="D19" s="148">
        <v>725000</v>
      </c>
      <c r="E19" s="148">
        <f t="shared" si="2"/>
        <v>725000</v>
      </c>
      <c r="F19" s="148"/>
      <c r="G19" s="149"/>
      <c r="H19" s="149"/>
      <c r="I19" s="149"/>
      <c r="J19" s="149">
        <f>724610+218</f>
        <v>724828</v>
      </c>
      <c r="K19" s="149">
        <f>390-218</f>
        <v>172</v>
      </c>
      <c r="L19" s="148">
        <v>645</v>
      </c>
      <c r="M19" s="124" t="s">
        <v>2</v>
      </c>
    </row>
    <row r="20" spans="1:13" s="115" customFormat="1" ht="54" customHeight="1" thickBot="1">
      <c r="A20" s="144">
        <v>15</v>
      </c>
      <c r="B20" s="145" t="s">
        <v>116</v>
      </c>
      <c r="C20" s="156"/>
      <c r="D20" s="148">
        <f>130000+36000</f>
        <v>166000</v>
      </c>
      <c r="E20" s="148">
        <f t="shared" si="2"/>
        <v>166000</v>
      </c>
      <c r="F20" s="148"/>
      <c r="G20" s="149">
        <f>40000+10000</f>
        <v>50000</v>
      </c>
      <c r="H20" s="149">
        <v>4000</v>
      </c>
      <c r="I20" s="149"/>
      <c r="J20" s="149">
        <f>86000-10000</f>
        <v>76000</v>
      </c>
      <c r="K20" s="149">
        <v>36000</v>
      </c>
      <c r="L20" s="148"/>
      <c r="M20" s="124" t="s">
        <v>40</v>
      </c>
    </row>
    <row r="21" spans="1:13" s="1" customFormat="1" ht="61.5" customHeight="1" thickBot="1">
      <c r="A21" s="125">
        <v>12</v>
      </c>
      <c r="B21" s="185" t="s">
        <v>127</v>
      </c>
      <c r="C21" s="182"/>
      <c r="D21" s="183">
        <f>3574000-120000-130000</f>
        <v>3324000</v>
      </c>
      <c r="E21" s="183">
        <f t="shared" si="2"/>
        <v>3324000</v>
      </c>
      <c r="F21" s="184"/>
      <c r="G21" s="184">
        <v>725000</v>
      </c>
      <c r="H21" s="184">
        <v>30000</v>
      </c>
      <c r="I21" s="184"/>
      <c r="J21" s="184">
        <v>850000</v>
      </c>
      <c r="K21" s="184">
        <f>1969000-120000-130000</f>
        <v>1719000</v>
      </c>
      <c r="L21" s="182"/>
      <c r="M21" s="126" t="s">
        <v>36</v>
      </c>
    </row>
    <row r="22" spans="1:13" ht="54" customHeight="1" thickBot="1">
      <c r="A22" s="196" t="s">
        <v>3</v>
      </c>
      <c r="B22" s="196"/>
      <c r="C22" s="157">
        <f>C6+C21</f>
        <v>27979.7</v>
      </c>
      <c r="D22" s="150">
        <f>D6+D21</f>
        <v>16372000</v>
      </c>
      <c r="E22" s="151">
        <f>SUM(F22:K22)</f>
        <v>16373268.869999999</v>
      </c>
      <c r="F22" s="151">
        <f t="shared" ref="F22:L22" si="3">F6+F21</f>
        <v>2225543</v>
      </c>
      <c r="G22" s="151">
        <f t="shared" si="3"/>
        <v>1209000</v>
      </c>
      <c r="H22" s="151">
        <f t="shared" si="3"/>
        <v>414840</v>
      </c>
      <c r="I22" s="151">
        <f t="shared" si="3"/>
        <v>0</v>
      </c>
      <c r="J22" s="151">
        <f t="shared" si="3"/>
        <v>2089128</v>
      </c>
      <c r="K22" s="151">
        <f t="shared" si="3"/>
        <v>10434757.869999999</v>
      </c>
      <c r="L22" s="151">
        <f t="shared" si="3"/>
        <v>29249</v>
      </c>
      <c r="M22" s="127"/>
    </row>
    <row r="23" spans="1:13" ht="54" customHeight="1">
      <c r="A23" s="31"/>
      <c r="B23" s="120" t="s">
        <v>142</v>
      </c>
      <c r="C23" s="32"/>
      <c r="D23" s="32"/>
      <c r="E23" s="32"/>
      <c r="F23" s="33"/>
      <c r="G23" s="33"/>
      <c r="H23" s="33"/>
      <c r="I23" s="33"/>
      <c r="J23" s="33"/>
      <c r="K23" s="33"/>
      <c r="L23" s="33"/>
      <c r="M23" s="34"/>
    </row>
  </sheetData>
  <mergeCells count="14">
    <mergeCell ref="H1:M1"/>
    <mergeCell ref="A22:B22"/>
    <mergeCell ref="A4:A5"/>
    <mergeCell ref="B4:B5"/>
    <mergeCell ref="C4:C5"/>
    <mergeCell ref="D4:D5"/>
    <mergeCell ref="E4:E5"/>
    <mergeCell ref="F4:K4"/>
    <mergeCell ref="L4:L5"/>
    <mergeCell ref="M4:M5"/>
    <mergeCell ref="A3:M3"/>
    <mergeCell ref="M7:M8"/>
    <mergeCell ref="M9:M17"/>
    <mergeCell ref="H2:M2"/>
  </mergeCells>
  <conditionalFormatting sqref="A8:B11 A13:B13 A15:B17">
    <cfRule type="cellIs" dxfId="5" priority="8" operator="equal">
      <formula>0</formula>
    </cfRule>
  </conditionalFormatting>
  <conditionalFormatting sqref="A6:B6 A21:B21">
    <cfRule type="cellIs" dxfId="4" priority="6" operator="equal">
      <formula>0</formula>
    </cfRule>
  </conditionalFormatting>
  <conditionalFormatting sqref="A7:B7 A12:B12 A14:B14">
    <cfRule type="cellIs" dxfId="3" priority="5" operator="equal">
      <formula>0</formula>
    </cfRule>
  </conditionalFormatting>
  <conditionalFormatting sqref="A22:B22 M22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8:B21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6"/>
  <sheetViews>
    <sheetView topLeftCell="A44" zoomScale="70" zoomScaleNormal="70" zoomScaleSheetLayoutView="70" workbookViewId="0">
      <selection activeCell="D63" sqref="D63"/>
    </sheetView>
  </sheetViews>
  <sheetFormatPr defaultColWidth="9.140625" defaultRowHeight="12.75"/>
  <cols>
    <col min="1" max="1" width="16" style="12" customWidth="1"/>
    <col min="2" max="2" width="86.85546875" style="9" customWidth="1"/>
    <col min="3" max="3" width="24.5703125" style="11" customWidth="1"/>
    <col min="4" max="4" width="24.7109375" style="11" customWidth="1"/>
    <col min="5" max="5" width="24.140625" style="9" customWidth="1"/>
    <col min="6" max="6" width="20.85546875" style="11" customWidth="1"/>
    <col min="7" max="7" width="18.7109375" style="11" customWidth="1"/>
    <col min="8" max="9" width="19" style="11" customWidth="1"/>
    <col min="10" max="10" width="19.5703125" style="11" customWidth="1"/>
    <col min="11" max="13" width="19" style="11" customWidth="1"/>
    <col min="14" max="14" width="39" style="10" customWidth="1"/>
    <col min="15" max="16384" width="9.140625" style="9"/>
  </cols>
  <sheetData>
    <row r="1" spans="1:14" ht="33" customHeight="1">
      <c r="H1" s="35"/>
      <c r="I1" s="35"/>
      <c r="J1" s="195" t="s">
        <v>143</v>
      </c>
      <c r="K1" s="195"/>
      <c r="L1" s="195"/>
      <c r="M1" s="195"/>
      <c r="N1" s="195"/>
    </row>
    <row r="2" spans="1:14" ht="33" customHeight="1">
      <c r="H2" s="110"/>
      <c r="I2" s="110"/>
      <c r="J2" s="216" t="s">
        <v>140</v>
      </c>
      <c r="K2" s="216"/>
      <c r="L2" s="216"/>
      <c r="M2" s="216"/>
      <c r="N2" s="216"/>
    </row>
    <row r="3" spans="1:14" ht="72" customHeight="1" thickBot="1">
      <c r="A3" s="210" t="s">
        <v>109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</row>
    <row r="4" spans="1:14" ht="40.700000000000003" customHeight="1">
      <c r="A4" s="217" t="s">
        <v>52</v>
      </c>
      <c r="B4" s="219" t="s">
        <v>0</v>
      </c>
      <c r="C4" s="199" t="s">
        <v>133</v>
      </c>
      <c r="D4" s="201" t="s">
        <v>135</v>
      </c>
      <c r="E4" s="203" t="s">
        <v>137</v>
      </c>
      <c r="F4" s="205" t="s">
        <v>17</v>
      </c>
      <c r="G4" s="205"/>
      <c r="H4" s="205"/>
      <c r="I4" s="205"/>
      <c r="J4" s="205"/>
      <c r="K4" s="205"/>
      <c r="L4" s="225" t="s">
        <v>50</v>
      </c>
      <c r="M4" s="221" t="s">
        <v>111</v>
      </c>
      <c r="N4" s="223" t="s">
        <v>1</v>
      </c>
    </row>
    <row r="5" spans="1:14" s="26" customFormat="1" ht="66.2" customHeight="1" thickBot="1">
      <c r="A5" s="218"/>
      <c r="B5" s="220"/>
      <c r="C5" s="200"/>
      <c r="D5" s="202"/>
      <c r="E5" s="204"/>
      <c r="F5" s="41" t="s">
        <v>19</v>
      </c>
      <c r="G5" s="42" t="s">
        <v>18</v>
      </c>
      <c r="H5" s="116" t="s">
        <v>20</v>
      </c>
      <c r="I5" s="116" t="s">
        <v>117</v>
      </c>
      <c r="J5" s="41" t="s">
        <v>16</v>
      </c>
      <c r="K5" s="41" t="s">
        <v>21</v>
      </c>
      <c r="L5" s="226"/>
      <c r="M5" s="222"/>
      <c r="N5" s="224"/>
    </row>
    <row r="6" spans="1:14" s="26" customFormat="1" ht="35.450000000000003" customHeight="1" thickBot="1">
      <c r="A6" s="28"/>
      <c r="B6" s="47" t="s">
        <v>33</v>
      </c>
      <c r="C6" s="158">
        <f>SUM(C7:C19)</f>
        <v>1077536.19</v>
      </c>
      <c r="D6" s="56">
        <f>SUM(D7:D19)</f>
        <v>22616676</v>
      </c>
      <c r="E6" s="56">
        <f>SUM(E7:E19)</f>
        <v>22682368</v>
      </c>
      <c r="F6" s="56">
        <f t="shared" ref="F6:M6" si="0">SUM(F7:F19)</f>
        <v>13363192</v>
      </c>
      <c r="G6" s="56">
        <f t="shared" si="0"/>
        <v>107700</v>
      </c>
      <c r="H6" s="56">
        <f t="shared" si="0"/>
        <v>2623938</v>
      </c>
      <c r="I6" s="56">
        <f t="shared" si="0"/>
        <v>0</v>
      </c>
      <c r="J6" s="56">
        <f t="shared" si="0"/>
        <v>5899201</v>
      </c>
      <c r="K6" s="56">
        <f t="shared" si="0"/>
        <v>688337</v>
      </c>
      <c r="L6" s="57">
        <f t="shared" si="0"/>
        <v>0</v>
      </c>
      <c r="M6" s="57">
        <f t="shared" si="0"/>
        <v>1143228</v>
      </c>
      <c r="N6" s="27"/>
    </row>
    <row r="7" spans="1:14" s="21" customFormat="1" ht="33" customHeight="1" thickBot="1">
      <c r="A7" s="128" t="s">
        <v>4</v>
      </c>
      <c r="B7" s="129" t="s">
        <v>32</v>
      </c>
      <c r="C7" s="159">
        <v>1072595.8799999999</v>
      </c>
      <c r="D7" s="107">
        <f>16467000-8000</f>
        <v>16459000</v>
      </c>
      <c r="E7" s="107">
        <f t="shared" ref="E7:E14" si="1">SUM(F7:K7)</f>
        <v>16524692</v>
      </c>
      <c r="F7" s="107">
        <v>13363192</v>
      </c>
      <c r="G7" s="107"/>
      <c r="H7" s="85">
        <v>2610938</v>
      </c>
      <c r="I7" s="85"/>
      <c r="J7" s="85"/>
      <c r="K7" s="85">
        <f>481762-8000+76800</f>
        <v>550562</v>
      </c>
      <c r="L7" s="130"/>
      <c r="M7" s="130">
        <v>1138288</v>
      </c>
      <c r="N7" s="227" t="s">
        <v>35</v>
      </c>
    </row>
    <row r="8" spans="1:14" s="21" customFormat="1" ht="33" customHeight="1" thickBot="1">
      <c r="A8" s="128" t="s">
        <v>5</v>
      </c>
      <c r="B8" s="129" t="s">
        <v>124</v>
      </c>
      <c r="C8" s="160"/>
      <c r="D8" s="53">
        <f>135000-5000</f>
        <v>130000</v>
      </c>
      <c r="E8" s="131">
        <f t="shared" si="1"/>
        <v>130000</v>
      </c>
      <c r="F8" s="53"/>
      <c r="G8" s="53"/>
      <c r="H8" s="85"/>
      <c r="I8" s="85"/>
      <c r="J8" s="85">
        <f>115000-35000</f>
        <v>80000</v>
      </c>
      <c r="K8" s="85">
        <f>15000+35000</f>
        <v>50000</v>
      </c>
      <c r="L8" s="130"/>
      <c r="M8" s="130"/>
      <c r="N8" s="228"/>
    </row>
    <row r="9" spans="1:14" s="21" customFormat="1" ht="43.5" customHeight="1" thickBot="1">
      <c r="A9" s="128" t="s">
        <v>6</v>
      </c>
      <c r="B9" s="132" t="s">
        <v>31</v>
      </c>
      <c r="C9" s="159">
        <v>2578.1</v>
      </c>
      <c r="D9" s="85">
        <f>2721000+6000</f>
        <v>2727000</v>
      </c>
      <c r="E9" s="107">
        <f t="shared" si="1"/>
        <v>2727000</v>
      </c>
      <c r="F9" s="85"/>
      <c r="G9" s="85">
        <f>57000+6000-8000</f>
        <v>55000</v>
      </c>
      <c r="H9" s="85">
        <v>8000</v>
      </c>
      <c r="I9" s="85"/>
      <c r="J9" s="85">
        <f>2652390+1891+8000</f>
        <v>2662281</v>
      </c>
      <c r="K9" s="85">
        <f>3610-1891</f>
        <v>1719</v>
      </c>
      <c r="L9" s="130"/>
      <c r="M9" s="130">
        <v>2578</v>
      </c>
      <c r="N9" s="229" t="s">
        <v>2</v>
      </c>
    </row>
    <row r="10" spans="1:14" s="21" customFormat="1" ht="34.5" customHeight="1" thickBot="1">
      <c r="A10" s="133" t="s">
        <v>7</v>
      </c>
      <c r="B10" s="132" t="s">
        <v>55</v>
      </c>
      <c r="C10" s="160"/>
      <c r="D10" s="85">
        <v>130000</v>
      </c>
      <c r="E10" s="181">
        <f t="shared" si="1"/>
        <v>130000</v>
      </c>
      <c r="F10" s="85"/>
      <c r="G10" s="85"/>
      <c r="H10" s="85"/>
      <c r="I10" s="85"/>
      <c r="J10" s="85">
        <v>130000</v>
      </c>
      <c r="K10" s="85"/>
      <c r="L10" s="130"/>
      <c r="M10" s="130"/>
      <c r="N10" s="230"/>
    </row>
    <row r="11" spans="1:14" s="21" customFormat="1" ht="42.75" customHeight="1" thickBot="1">
      <c r="A11" s="133" t="s">
        <v>8</v>
      </c>
      <c r="B11" s="29" t="s">
        <v>30</v>
      </c>
      <c r="C11" s="180"/>
      <c r="D11" s="85">
        <f>164000+65000</f>
        <v>229000</v>
      </c>
      <c r="E11" s="107">
        <f t="shared" si="1"/>
        <v>229000</v>
      </c>
      <c r="F11" s="85"/>
      <c r="G11" s="85"/>
      <c r="H11" s="85"/>
      <c r="I11" s="85"/>
      <c r="J11" s="85">
        <v>229000</v>
      </c>
      <c r="K11" s="85"/>
      <c r="L11" s="130"/>
      <c r="M11" s="130"/>
      <c r="N11" s="230"/>
    </row>
    <row r="12" spans="1:14" s="25" customFormat="1" ht="48.2" customHeight="1" thickBot="1">
      <c r="A12" s="128" t="s">
        <v>9</v>
      </c>
      <c r="B12" s="29" t="s">
        <v>130</v>
      </c>
      <c r="C12" s="180">
        <v>2227.52</v>
      </c>
      <c r="D12" s="85">
        <v>213000</v>
      </c>
      <c r="E12" s="107">
        <f t="shared" si="1"/>
        <v>213000</v>
      </c>
      <c r="F12" s="85"/>
      <c r="G12" s="85"/>
      <c r="H12" s="85"/>
      <c r="I12" s="85"/>
      <c r="J12" s="85">
        <f>193000+7944</f>
        <v>200944</v>
      </c>
      <c r="K12" s="85">
        <f>20000-7944</f>
        <v>12056</v>
      </c>
      <c r="L12" s="130"/>
      <c r="M12" s="130">
        <v>2227</v>
      </c>
      <c r="N12" s="231"/>
    </row>
    <row r="13" spans="1:14" s="21" customFormat="1" ht="38.25" customHeight="1" thickBot="1">
      <c r="A13" s="128" t="s">
        <v>10</v>
      </c>
      <c r="B13" s="29" t="s">
        <v>29</v>
      </c>
      <c r="C13" s="175"/>
      <c r="D13" s="85">
        <v>31000</v>
      </c>
      <c r="E13" s="85">
        <f t="shared" si="1"/>
        <v>31000</v>
      </c>
      <c r="F13" s="85"/>
      <c r="G13" s="85"/>
      <c r="H13" s="85"/>
      <c r="I13" s="85"/>
      <c r="J13" s="85"/>
      <c r="K13" s="85">
        <v>31000</v>
      </c>
      <c r="L13" s="130"/>
      <c r="M13" s="130"/>
      <c r="N13" s="117" t="s">
        <v>40</v>
      </c>
    </row>
    <row r="14" spans="1:14" s="21" customFormat="1" ht="36" customHeight="1" thickBot="1">
      <c r="A14" s="134" t="s">
        <v>11</v>
      </c>
      <c r="B14" s="106" t="s">
        <v>118</v>
      </c>
      <c r="C14" s="175"/>
      <c r="D14" s="85">
        <f>25000-22000</f>
        <v>3000</v>
      </c>
      <c r="E14" s="85">
        <f t="shared" si="1"/>
        <v>3000</v>
      </c>
      <c r="F14" s="107"/>
      <c r="G14" s="107"/>
      <c r="H14" s="107"/>
      <c r="I14" s="107"/>
      <c r="J14" s="107">
        <f>5000-5000</f>
        <v>0</v>
      </c>
      <c r="K14" s="107">
        <f>20000-17000</f>
        <v>3000</v>
      </c>
      <c r="L14" s="108"/>
      <c r="M14" s="108"/>
      <c r="N14" s="91" t="s">
        <v>35</v>
      </c>
    </row>
    <row r="15" spans="1:14" s="21" customFormat="1" ht="36" customHeight="1" thickBot="1">
      <c r="A15" s="134" t="s">
        <v>12</v>
      </c>
      <c r="B15" s="106" t="s">
        <v>54</v>
      </c>
      <c r="C15" s="161">
        <v>134.69</v>
      </c>
      <c r="D15" s="107">
        <f>1400000+250000</f>
        <v>1650000</v>
      </c>
      <c r="E15" s="107">
        <f t="shared" ref="E15:E49" si="2">SUM(F15:K15)</f>
        <v>1650000</v>
      </c>
      <c r="F15" s="107"/>
      <c r="G15" s="107"/>
      <c r="H15" s="107"/>
      <c r="I15" s="107"/>
      <c r="J15" s="107">
        <f>1388000+250000</f>
        <v>1638000</v>
      </c>
      <c r="K15" s="107">
        <v>12000</v>
      </c>
      <c r="L15" s="108"/>
      <c r="M15" s="108">
        <v>135</v>
      </c>
      <c r="N15" s="112" t="s">
        <v>28</v>
      </c>
    </row>
    <row r="16" spans="1:14" s="21" customFormat="1" ht="36" customHeight="1" thickBot="1">
      <c r="A16" s="135">
        <v>10</v>
      </c>
      <c r="B16" s="29" t="s">
        <v>128</v>
      </c>
      <c r="C16" s="175"/>
      <c r="D16" s="85">
        <f>317000-25000+80000</f>
        <v>372000</v>
      </c>
      <c r="E16" s="85">
        <f t="shared" si="2"/>
        <v>372000</v>
      </c>
      <c r="F16" s="85"/>
      <c r="G16" s="85">
        <v>35000</v>
      </c>
      <c r="H16" s="85">
        <v>5000</v>
      </c>
      <c r="I16" s="85"/>
      <c r="J16" s="85">
        <f>257000-5000+80000-10000</f>
        <v>322000</v>
      </c>
      <c r="K16" s="85">
        <v>10000</v>
      </c>
      <c r="L16" s="130"/>
      <c r="M16" s="130"/>
      <c r="N16" s="232" t="s">
        <v>35</v>
      </c>
    </row>
    <row r="17" spans="1:14" s="21" customFormat="1" ht="36" customHeight="1" thickBot="1">
      <c r="A17" s="135">
        <v>11</v>
      </c>
      <c r="B17" s="29" t="s">
        <v>27</v>
      </c>
      <c r="C17" s="175"/>
      <c r="D17" s="85">
        <f>200000-6000+22000+320676</f>
        <v>536676</v>
      </c>
      <c r="E17" s="85">
        <f t="shared" si="2"/>
        <v>536676</v>
      </c>
      <c r="F17" s="85"/>
      <c r="G17" s="130"/>
      <c r="H17" s="130"/>
      <c r="I17" s="130"/>
      <c r="J17" s="130">
        <f>200000-10000-6000+22000+320676</f>
        <v>526676</v>
      </c>
      <c r="K17" s="130">
        <v>10000</v>
      </c>
      <c r="L17" s="130"/>
      <c r="M17" s="130"/>
      <c r="N17" s="233"/>
    </row>
    <row r="18" spans="1:14" s="17" customFormat="1" ht="36.75" customHeight="1" thickBot="1">
      <c r="A18" s="136">
        <v>15</v>
      </c>
      <c r="B18" s="137" t="s">
        <v>23</v>
      </c>
      <c r="C18" s="161"/>
      <c r="D18" s="107">
        <v>123000</v>
      </c>
      <c r="E18" s="107">
        <f t="shared" ref="E18:E19" si="3">SUM(F18:K18)</f>
        <v>123000</v>
      </c>
      <c r="F18" s="107"/>
      <c r="G18" s="107">
        <f>6000+1500+2300+2900</f>
        <v>12700</v>
      </c>
      <c r="H18" s="107"/>
      <c r="I18" s="107"/>
      <c r="J18" s="107">
        <f>90500+19800</f>
        <v>110300</v>
      </c>
      <c r="K18" s="107">
        <f>26500-1500-2300-2900-19800</f>
        <v>0</v>
      </c>
      <c r="L18" s="108"/>
      <c r="M18" s="108"/>
      <c r="N18" s="44" t="s">
        <v>22</v>
      </c>
    </row>
    <row r="19" spans="1:14" s="17" customFormat="1" ht="36.75" customHeight="1" thickBot="1">
      <c r="A19" s="136">
        <v>17</v>
      </c>
      <c r="B19" s="137" t="s">
        <v>125</v>
      </c>
      <c r="C19" s="161"/>
      <c r="D19" s="107">
        <f>8000+5000</f>
        <v>13000</v>
      </c>
      <c r="E19" s="107">
        <f t="shared" si="3"/>
        <v>13000</v>
      </c>
      <c r="F19" s="107"/>
      <c r="G19" s="107">
        <v>5000</v>
      </c>
      <c r="H19" s="107"/>
      <c r="I19" s="107"/>
      <c r="J19" s="107"/>
      <c r="K19" s="107">
        <v>8000</v>
      </c>
      <c r="L19" s="108"/>
      <c r="M19" s="108"/>
      <c r="N19" s="44" t="s">
        <v>35</v>
      </c>
    </row>
    <row r="20" spans="1:14" s="21" customFormat="1" ht="48.75" customHeight="1" thickBot="1">
      <c r="A20" s="45">
        <v>12</v>
      </c>
      <c r="B20" s="190" t="s">
        <v>57</v>
      </c>
      <c r="C20" s="162"/>
      <c r="D20" s="66">
        <f>930000+120000</f>
        <v>1050000</v>
      </c>
      <c r="E20" s="66">
        <f t="shared" si="2"/>
        <v>1050000</v>
      </c>
      <c r="F20" s="66"/>
      <c r="G20" s="66">
        <v>200000</v>
      </c>
      <c r="H20" s="66">
        <v>15000</v>
      </c>
      <c r="I20" s="66"/>
      <c r="J20" s="66">
        <f>690000+120000</f>
        <v>810000</v>
      </c>
      <c r="K20" s="66">
        <v>25000</v>
      </c>
      <c r="L20" s="67"/>
      <c r="M20" s="67"/>
      <c r="N20" s="118" t="s">
        <v>42</v>
      </c>
    </row>
    <row r="21" spans="1:14" s="18" customFormat="1" ht="33" hidden="1" customHeight="1">
      <c r="A21" s="23" t="s">
        <v>43</v>
      </c>
      <c r="B21" s="24" t="s">
        <v>44</v>
      </c>
      <c r="C21" s="163"/>
      <c r="D21" s="55"/>
      <c r="E21" s="58">
        <f t="shared" si="2"/>
        <v>0</v>
      </c>
      <c r="F21" s="58"/>
      <c r="G21" s="59"/>
      <c r="H21" s="59"/>
      <c r="I21" s="59"/>
      <c r="J21" s="59"/>
      <c r="K21" s="59"/>
      <c r="L21" s="59"/>
      <c r="M21" s="59"/>
      <c r="N21" s="234" t="s">
        <v>45</v>
      </c>
    </row>
    <row r="22" spans="1:14" s="18" customFormat="1" ht="44.45" hidden="1" customHeight="1" thickBot="1">
      <c r="A22" s="20" t="s">
        <v>46</v>
      </c>
      <c r="B22" s="36" t="s">
        <v>47</v>
      </c>
      <c r="C22" s="163"/>
      <c r="D22" s="55"/>
      <c r="E22" s="58">
        <f t="shared" si="2"/>
        <v>0</v>
      </c>
      <c r="F22" s="63"/>
      <c r="G22" s="64"/>
      <c r="H22" s="64"/>
      <c r="I22" s="64"/>
      <c r="J22" s="64"/>
      <c r="K22" s="64"/>
      <c r="L22" s="65"/>
      <c r="M22" s="65"/>
      <c r="N22" s="235"/>
    </row>
    <row r="23" spans="1:14" s="18" customFormat="1" ht="61.5" thickBot="1">
      <c r="A23" s="19">
        <v>13</v>
      </c>
      <c r="B23" s="46" t="s">
        <v>123</v>
      </c>
      <c r="C23" s="186">
        <v>1077.49</v>
      </c>
      <c r="D23" s="187">
        <f>3266000-80000-1000000</f>
        <v>2186000</v>
      </c>
      <c r="E23" s="187">
        <f t="shared" si="2"/>
        <v>2184923</v>
      </c>
      <c r="F23" s="188"/>
      <c r="G23" s="188"/>
      <c r="H23" s="188"/>
      <c r="I23" s="188"/>
      <c r="J23" s="188">
        <v>50000</v>
      </c>
      <c r="K23" s="188">
        <f>3216000-80000-1077-1000000</f>
        <v>2134923</v>
      </c>
      <c r="L23" s="69"/>
      <c r="M23" s="69"/>
      <c r="N23" s="119" t="s">
        <v>48</v>
      </c>
    </row>
    <row r="24" spans="1:14" s="21" customFormat="1" ht="43.5" customHeight="1" thickBot="1">
      <c r="A24" s="19">
        <v>16</v>
      </c>
      <c r="B24" s="189" t="s">
        <v>58</v>
      </c>
      <c r="C24" s="162"/>
      <c r="D24" s="66">
        <f>D25+D27+D29+D33+D35+D40</f>
        <v>3273300</v>
      </c>
      <c r="E24" s="66">
        <f t="shared" si="2"/>
        <v>3273300</v>
      </c>
      <c r="F24" s="68">
        <f t="shared" ref="F24:K24" si="4">F25+F27+F29+F33+F35+F40</f>
        <v>1493320</v>
      </c>
      <c r="G24" s="68">
        <f t="shared" si="4"/>
        <v>721253</v>
      </c>
      <c r="H24" s="68">
        <f t="shared" si="4"/>
        <v>298666</v>
      </c>
      <c r="I24" s="68">
        <f t="shared" si="4"/>
        <v>0</v>
      </c>
      <c r="J24" s="68">
        <f t="shared" si="4"/>
        <v>705061</v>
      </c>
      <c r="K24" s="68">
        <f t="shared" si="4"/>
        <v>55000</v>
      </c>
      <c r="L24" s="69"/>
      <c r="M24" s="69"/>
      <c r="N24" s="89" t="s">
        <v>22</v>
      </c>
    </row>
    <row r="25" spans="1:14" s="21" customFormat="1" ht="35.25" customHeight="1" thickBot="1">
      <c r="A25" s="99" t="s">
        <v>59</v>
      </c>
      <c r="B25" s="22" t="s">
        <v>67</v>
      </c>
      <c r="C25" s="164"/>
      <c r="D25" s="62">
        <f>D26</f>
        <v>0</v>
      </c>
      <c r="E25" s="62">
        <f t="shared" si="2"/>
        <v>0</v>
      </c>
      <c r="F25" s="62">
        <f t="shared" ref="F25:H25" si="5">F26</f>
        <v>0</v>
      </c>
      <c r="G25" s="62">
        <f t="shared" si="5"/>
        <v>0</v>
      </c>
      <c r="H25" s="62">
        <f t="shared" si="5"/>
        <v>0</v>
      </c>
      <c r="I25" s="62"/>
      <c r="J25" s="62">
        <f t="shared" ref="J25:M25" si="6">J26</f>
        <v>0</v>
      </c>
      <c r="K25" s="62">
        <f t="shared" si="6"/>
        <v>0</v>
      </c>
      <c r="L25" s="62">
        <f t="shared" si="6"/>
        <v>0</v>
      </c>
      <c r="M25" s="62">
        <f t="shared" si="6"/>
        <v>0</v>
      </c>
      <c r="N25" s="227" t="s">
        <v>22</v>
      </c>
    </row>
    <row r="26" spans="1:14" s="21" customFormat="1" ht="35.25" customHeight="1" thickBot="1">
      <c r="A26" s="96" t="s">
        <v>68</v>
      </c>
      <c r="B26" s="90" t="s">
        <v>69</v>
      </c>
      <c r="C26" s="160"/>
      <c r="D26" s="86">
        <f>E26</f>
        <v>0</v>
      </c>
      <c r="E26" s="86">
        <f t="shared" si="2"/>
        <v>0</v>
      </c>
      <c r="F26" s="86"/>
      <c r="G26" s="86">
        <f>14617+52-14669</f>
        <v>0</v>
      </c>
      <c r="H26" s="86"/>
      <c r="I26" s="86"/>
      <c r="J26" s="86">
        <f>20000-20000</f>
        <v>0</v>
      </c>
      <c r="K26" s="86"/>
      <c r="L26" s="87"/>
      <c r="M26" s="100"/>
      <c r="N26" s="241"/>
    </row>
    <row r="27" spans="1:14" s="21" customFormat="1" ht="35.25" customHeight="1" thickBot="1">
      <c r="A27" s="99" t="s">
        <v>60</v>
      </c>
      <c r="B27" s="22" t="s">
        <v>70</v>
      </c>
      <c r="C27" s="164"/>
      <c r="D27" s="62">
        <f>D28</f>
        <v>751686</v>
      </c>
      <c r="E27" s="62">
        <f t="shared" si="2"/>
        <v>751686</v>
      </c>
      <c r="F27" s="62">
        <f t="shared" ref="F27:H27" si="7">F28</f>
        <v>0</v>
      </c>
      <c r="G27" s="62">
        <f t="shared" si="7"/>
        <v>684240</v>
      </c>
      <c r="H27" s="62">
        <f t="shared" si="7"/>
        <v>0</v>
      </c>
      <c r="I27" s="62"/>
      <c r="J27" s="62">
        <f t="shared" ref="J27:M27" si="8">J28</f>
        <v>47446</v>
      </c>
      <c r="K27" s="62">
        <f t="shared" si="8"/>
        <v>20000</v>
      </c>
      <c r="L27" s="62">
        <f t="shared" si="8"/>
        <v>0</v>
      </c>
      <c r="M27" s="62">
        <f t="shared" si="8"/>
        <v>0</v>
      </c>
      <c r="N27" s="227" t="s">
        <v>22</v>
      </c>
    </row>
    <row r="28" spans="1:14" s="21" customFormat="1" ht="35.25" customHeight="1" thickBot="1">
      <c r="A28" s="105" t="s">
        <v>71</v>
      </c>
      <c r="B28" s="106" t="s">
        <v>72</v>
      </c>
      <c r="C28" s="161"/>
      <c r="D28" s="86">
        <f>E28</f>
        <v>751686</v>
      </c>
      <c r="E28" s="86">
        <f t="shared" si="2"/>
        <v>751686</v>
      </c>
      <c r="F28" s="86"/>
      <c r="G28" s="86">
        <f>669571+14669</f>
        <v>684240</v>
      </c>
      <c r="H28" s="86"/>
      <c r="I28" s="107"/>
      <c r="J28" s="86">
        <f>132146-60000-54700+20000+10000</f>
        <v>47446</v>
      </c>
      <c r="K28" s="86">
        <v>20000</v>
      </c>
      <c r="L28" s="108"/>
      <c r="M28" s="109"/>
      <c r="N28" s="228"/>
    </row>
    <row r="29" spans="1:14" s="21" customFormat="1" ht="35.25" customHeight="1" thickBot="1">
      <c r="A29" s="99" t="s">
        <v>61</v>
      </c>
      <c r="B29" s="22" t="s">
        <v>73</v>
      </c>
      <c r="C29" s="164"/>
      <c r="D29" s="62">
        <f>SUM(D30:D32)</f>
        <v>221335</v>
      </c>
      <c r="E29" s="62">
        <f t="shared" si="2"/>
        <v>221335</v>
      </c>
      <c r="F29" s="62">
        <f t="shared" ref="F29:H29" si="9">SUM(F30:F32)</f>
        <v>0</v>
      </c>
      <c r="G29" s="62">
        <f t="shared" si="9"/>
        <v>0</v>
      </c>
      <c r="H29" s="62">
        <f t="shared" si="9"/>
        <v>0</v>
      </c>
      <c r="I29" s="62"/>
      <c r="J29" s="62">
        <f t="shared" ref="J29:M29" si="10">SUM(J30:J32)</f>
        <v>186335</v>
      </c>
      <c r="K29" s="62">
        <f t="shared" si="10"/>
        <v>35000</v>
      </c>
      <c r="L29" s="62">
        <f t="shared" si="10"/>
        <v>0</v>
      </c>
      <c r="M29" s="62">
        <f t="shared" si="10"/>
        <v>0</v>
      </c>
      <c r="N29" s="104"/>
    </row>
    <row r="30" spans="1:14" s="21" customFormat="1" ht="35.25" customHeight="1">
      <c r="A30" s="98" t="s">
        <v>74</v>
      </c>
      <c r="B30" s="49" t="s">
        <v>75</v>
      </c>
      <c r="C30" s="165"/>
      <c r="D30" s="53">
        <f>E30</f>
        <v>94835</v>
      </c>
      <c r="E30" s="53">
        <f t="shared" si="2"/>
        <v>94835</v>
      </c>
      <c r="F30" s="53"/>
      <c r="G30" s="53"/>
      <c r="H30" s="53"/>
      <c r="I30" s="53"/>
      <c r="J30" s="53">
        <f>109835-50000</f>
        <v>59835</v>
      </c>
      <c r="K30" s="53">
        <v>35000</v>
      </c>
      <c r="L30" s="74"/>
      <c r="M30" s="75"/>
      <c r="N30" s="113" t="s">
        <v>22</v>
      </c>
    </row>
    <row r="31" spans="1:14" s="21" customFormat="1" ht="31.5">
      <c r="A31" s="95" t="s">
        <v>76</v>
      </c>
      <c r="B31" s="48" t="s">
        <v>77</v>
      </c>
      <c r="C31" s="166"/>
      <c r="D31" s="54">
        <f>E31</f>
        <v>110000</v>
      </c>
      <c r="E31" s="54">
        <f t="shared" si="2"/>
        <v>110000</v>
      </c>
      <c r="F31" s="54"/>
      <c r="G31" s="54"/>
      <c r="H31" s="54"/>
      <c r="I31" s="54"/>
      <c r="J31" s="54">
        <v>110000</v>
      </c>
      <c r="K31" s="54"/>
      <c r="L31" s="76"/>
      <c r="M31" s="77"/>
      <c r="N31" s="92" t="s">
        <v>36</v>
      </c>
    </row>
    <row r="32" spans="1:14" s="21" customFormat="1" ht="35.25" customHeight="1" thickBot="1">
      <c r="A32" s="97" t="s">
        <v>78</v>
      </c>
      <c r="B32" s="50" t="s">
        <v>79</v>
      </c>
      <c r="C32" s="167"/>
      <c r="D32" s="82">
        <f>E32</f>
        <v>16500</v>
      </c>
      <c r="E32" s="82">
        <f t="shared" si="2"/>
        <v>16500</v>
      </c>
      <c r="F32" s="82"/>
      <c r="G32" s="82"/>
      <c r="H32" s="82"/>
      <c r="I32" s="82"/>
      <c r="J32" s="82">
        <v>16500</v>
      </c>
      <c r="K32" s="82"/>
      <c r="L32" s="83"/>
      <c r="M32" s="84"/>
      <c r="N32" s="113" t="s">
        <v>34</v>
      </c>
    </row>
    <row r="33" spans="1:14" s="21" customFormat="1" ht="35.25" customHeight="1" thickBot="1">
      <c r="A33" s="99" t="s">
        <v>62</v>
      </c>
      <c r="B33" s="22" t="s">
        <v>65</v>
      </c>
      <c r="C33" s="164"/>
      <c r="D33" s="62">
        <f>D34</f>
        <v>37013</v>
      </c>
      <c r="E33" s="62">
        <f t="shared" si="2"/>
        <v>37013</v>
      </c>
      <c r="F33" s="62">
        <f t="shared" ref="F33:H33" si="11">F34</f>
        <v>0</v>
      </c>
      <c r="G33" s="62">
        <f t="shared" si="11"/>
        <v>37013</v>
      </c>
      <c r="H33" s="62">
        <f t="shared" si="11"/>
        <v>0</v>
      </c>
      <c r="I33" s="62"/>
      <c r="J33" s="62">
        <f t="shared" ref="J33:M33" si="12">J34</f>
        <v>0</v>
      </c>
      <c r="K33" s="62">
        <f t="shared" si="12"/>
        <v>0</v>
      </c>
      <c r="L33" s="62">
        <f t="shared" si="12"/>
        <v>0</v>
      </c>
      <c r="M33" s="62">
        <f t="shared" si="12"/>
        <v>0</v>
      </c>
      <c r="N33" s="227" t="s">
        <v>22</v>
      </c>
    </row>
    <row r="34" spans="1:14" s="21" customFormat="1" ht="35.25" customHeight="1" thickBot="1">
      <c r="A34" s="96" t="s">
        <v>80</v>
      </c>
      <c r="B34" s="90" t="s">
        <v>81</v>
      </c>
      <c r="C34" s="160"/>
      <c r="D34" s="86">
        <f>E34</f>
        <v>37013</v>
      </c>
      <c r="E34" s="86">
        <f t="shared" si="2"/>
        <v>37013</v>
      </c>
      <c r="F34" s="86"/>
      <c r="G34" s="86">
        <v>37013</v>
      </c>
      <c r="H34" s="86"/>
      <c r="I34" s="86"/>
      <c r="J34" s="86"/>
      <c r="K34" s="86"/>
      <c r="L34" s="87"/>
      <c r="M34" s="100"/>
      <c r="N34" s="228"/>
    </row>
    <row r="35" spans="1:14" s="21" customFormat="1" ht="35.25" customHeight="1" thickBot="1">
      <c r="A35" s="99" t="s">
        <v>63</v>
      </c>
      <c r="B35" s="22" t="s">
        <v>82</v>
      </c>
      <c r="C35" s="164"/>
      <c r="D35" s="62">
        <f>SUM(D36:D39)</f>
        <v>471280</v>
      </c>
      <c r="E35" s="62">
        <f t="shared" si="2"/>
        <v>471280</v>
      </c>
      <c r="F35" s="62">
        <f t="shared" ref="F35:H35" si="13">SUM(F36:F39)</f>
        <v>0</v>
      </c>
      <c r="G35" s="62">
        <f t="shared" si="13"/>
        <v>0</v>
      </c>
      <c r="H35" s="62">
        <f t="shared" si="13"/>
        <v>0</v>
      </c>
      <c r="I35" s="62"/>
      <c r="J35" s="62">
        <f t="shared" ref="J35:M35" si="14">SUM(J36:J39)</f>
        <v>471280</v>
      </c>
      <c r="K35" s="62">
        <f t="shared" si="14"/>
        <v>0</v>
      </c>
      <c r="L35" s="62">
        <f t="shared" si="14"/>
        <v>0</v>
      </c>
      <c r="M35" s="62">
        <f t="shared" si="14"/>
        <v>0</v>
      </c>
      <c r="N35" s="103"/>
    </row>
    <row r="36" spans="1:14" s="21" customFormat="1" ht="35.25" customHeight="1">
      <c r="A36" s="98" t="s">
        <v>83</v>
      </c>
      <c r="B36" s="49" t="s">
        <v>84</v>
      </c>
      <c r="C36" s="165"/>
      <c r="D36" s="53">
        <f>E36</f>
        <v>92880</v>
      </c>
      <c r="E36" s="53">
        <f t="shared" si="2"/>
        <v>92880</v>
      </c>
      <c r="F36" s="53"/>
      <c r="G36" s="53"/>
      <c r="H36" s="53"/>
      <c r="I36" s="53"/>
      <c r="J36" s="53">
        <f>136280-10000-9400-14000-10000</f>
        <v>92880</v>
      </c>
      <c r="K36" s="53"/>
      <c r="L36" s="74"/>
      <c r="M36" s="75"/>
      <c r="N36" s="113" t="s">
        <v>22</v>
      </c>
    </row>
    <row r="37" spans="1:14" s="21" customFormat="1" ht="31.5">
      <c r="A37" s="95" t="s">
        <v>85</v>
      </c>
      <c r="B37" s="48" t="s">
        <v>86</v>
      </c>
      <c r="C37" s="166"/>
      <c r="D37" s="54"/>
      <c r="E37" s="54">
        <f t="shared" si="2"/>
        <v>0</v>
      </c>
      <c r="F37" s="54"/>
      <c r="G37" s="54"/>
      <c r="H37" s="54"/>
      <c r="I37" s="54"/>
      <c r="J37" s="54"/>
      <c r="K37" s="54"/>
      <c r="L37" s="76"/>
      <c r="M37" s="77"/>
      <c r="N37" s="92" t="s">
        <v>36</v>
      </c>
    </row>
    <row r="38" spans="1:14" s="21" customFormat="1" ht="35.25" customHeight="1">
      <c r="A38" s="95" t="s">
        <v>87</v>
      </c>
      <c r="B38" s="48" t="s">
        <v>88</v>
      </c>
      <c r="C38" s="166"/>
      <c r="D38" s="54">
        <f>E38</f>
        <v>364400</v>
      </c>
      <c r="E38" s="54">
        <f t="shared" si="2"/>
        <v>364400</v>
      </c>
      <c r="F38" s="54"/>
      <c r="G38" s="54"/>
      <c r="H38" s="54"/>
      <c r="I38" s="54"/>
      <c r="J38" s="54">
        <f>345000-17000-1000+10000+18000+9400</f>
        <v>364400</v>
      </c>
      <c r="K38" s="54"/>
      <c r="L38" s="76"/>
      <c r="M38" s="77"/>
      <c r="N38" s="92" t="s">
        <v>2</v>
      </c>
    </row>
    <row r="39" spans="1:14" s="21" customFormat="1" ht="35.25" customHeight="1" thickBot="1">
      <c r="A39" s="97" t="s">
        <v>89</v>
      </c>
      <c r="B39" s="50" t="s">
        <v>90</v>
      </c>
      <c r="C39" s="167"/>
      <c r="D39" s="82">
        <f>E39</f>
        <v>14000</v>
      </c>
      <c r="E39" s="82">
        <f t="shared" si="2"/>
        <v>14000</v>
      </c>
      <c r="F39" s="82"/>
      <c r="G39" s="82"/>
      <c r="H39" s="82"/>
      <c r="I39" s="82"/>
      <c r="J39" s="82">
        <v>14000</v>
      </c>
      <c r="K39" s="82"/>
      <c r="L39" s="83"/>
      <c r="M39" s="84"/>
      <c r="N39" s="111" t="s">
        <v>28</v>
      </c>
    </row>
    <row r="40" spans="1:14" s="21" customFormat="1" ht="35.25" customHeight="1" thickBot="1">
      <c r="A40" s="99" t="s">
        <v>64</v>
      </c>
      <c r="B40" s="22" t="s">
        <v>66</v>
      </c>
      <c r="C40" s="164"/>
      <c r="D40" s="62">
        <f>SUM(D41:D49)</f>
        <v>1791986</v>
      </c>
      <c r="E40" s="62">
        <f t="shared" si="2"/>
        <v>1791986</v>
      </c>
      <c r="F40" s="62">
        <f t="shared" ref="F40:H40" si="15">SUM(F41:F49)</f>
        <v>1493320</v>
      </c>
      <c r="G40" s="62">
        <f t="shared" si="15"/>
        <v>0</v>
      </c>
      <c r="H40" s="62">
        <f t="shared" si="15"/>
        <v>298666</v>
      </c>
      <c r="I40" s="62"/>
      <c r="J40" s="62">
        <f t="shared" ref="J40:M40" si="16">SUM(J41:J49)</f>
        <v>0</v>
      </c>
      <c r="K40" s="62">
        <f t="shared" si="16"/>
        <v>0</v>
      </c>
      <c r="L40" s="62">
        <f t="shared" si="16"/>
        <v>0</v>
      </c>
      <c r="M40" s="62">
        <f t="shared" si="16"/>
        <v>0</v>
      </c>
      <c r="N40" s="242" t="s">
        <v>35</v>
      </c>
    </row>
    <row r="41" spans="1:14" s="21" customFormat="1" ht="35.25" customHeight="1">
      <c r="A41" s="98" t="s">
        <v>91</v>
      </c>
      <c r="B41" s="49" t="s">
        <v>92</v>
      </c>
      <c r="C41" s="165"/>
      <c r="D41" s="53">
        <f>E41</f>
        <v>885800</v>
      </c>
      <c r="E41" s="54">
        <f t="shared" si="2"/>
        <v>885800</v>
      </c>
      <c r="F41" s="53">
        <f>786500-45833-2500</f>
        <v>738167</v>
      </c>
      <c r="G41" s="54"/>
      <c r="H41" s="53">
        <f>157300-9167-500</f>
        <v>147633</v>
      </c>
      <c r="I41" s="53"/>
      <c r="J41" s="53"/>
      <c r="K41" s="53"/>
      <c r="L41" s="74"/>
      <c r="M41" s="75"/>
      <c r="N41" s="242"/>
    </row>
    <row r="42" spans="1:14" s="21" customFormat="1" ht="35.25" customHeight="1">
      <c r="A42" s="95" t="s">
        <v>93</v>
      </c>
      <c r="B42" s="48" t="s">
        <v>94</v>
      </c>
      <c r="C42" s="166"/>
      <c r="D42" s="54">
        <f t="shared" ref="D42:D49" si="17">E42</f>
        <v>208000</v>
      </c>
      <c r="E42" s="54">
        <f t="shared" si="2"/>
        <v>208000</v>
      </c>
      <c r="F42" s="53">
        <v>173333</v>
      </c>
      <c r="G42" s="54"/>
      <c r="H42" s="53">
        <v>34667</v>
      </c>
      <c r="I42" s="54"/>
      <c r="J42" s="54"/>
      <c r="K42" s="54"/>
      <c r="L42" s="76"/>
      <c r="M42" s="77"/>
      <c r="N42" s="242"/>
    </row>
    <row r="43" spans="1:14" s="21" customFormat="1" ht="35.25" customHeight="1">
      <c r="A43" s="95" t="s">
        <v>95</v>
      </c>
      <c r="B43" s="48" t="s">
        <v>96</v>
      </c>
      <c r="C43" s="166"/>
      <c r="D43" s="54">
        <f t="shared" si="17"/>
        <v>227200</v>
      </c>
      <c r="E43" s="54">
        <f t="shared" si="2"/>
        <v>227200</v>
      </c>
      <c r="F43" s="53">
        <v>189333</v>
      </c>
      <c r="G43" s="54"/>
      <c r="H43" s="53">
        <v>37867</v>
      </c>
      <c r="I43" s="54"/>
      <c r="J43" s="54"/>
      <c r="K43" s="54"/>
      <c r="L43" s="76"/>
      <c r="M43" s="77"/>
      <c r="N43" s="242"/>
    </row>
    <row r="44" spans="1:14" s="21" customFormat="1" ht="35.25" customHeight="1">
      <c r="A44" s="95" t="s">
        <v>97</v>
      </c>
      <c r="B44" s="48" t="s">
        <v>98</v>
      </c>
      <c r="C44" s="166"/>
      <c r="D44" s="54">
        <f t="shared" si="17"/>
        <v>145640</v>
      </c>
      <c r="E44" s="54">
        <f t="shared" si="2"/>
        <v>145640</v>
      </c>
      <c r="F44" s="53">
        <f>78167+34560+7200</f>
        <v>119927</v>
      </c>
      <c r="G44" s="54"/>
      <c r="H44" s="53">
        <f>15633+8640+1440</f>
        <v>25713</v>
      </c>
      <c r="I44" s="54"/>
      <c r="J44" s="54"/>
      <c r="K44" s="54"/>
      <c r="L44" s="76"/>
      <c r="M44" s="77"/>
      <c r="N44" s="242"/>
    </row>
    <row r="45" spans="1:14" s="21" customFormat="1" ht="35.25" customHeight="1">
      <c r="A45" s="95" t="s">
        <v>99</v>
      </c>
      <c r="B45" s="48" t="s">
        <v>100</v>
      </c>
      <c r="C45" s="166"/>
      <c r="D45" s="54">
        <f t="shared" si="17"/>
        <v>137000</v>
      </c>
      <c r="E45" s="54">
        <f t="shared" si="2"/>
        <v>137000</v>
      </c>
      <c r="F45" s="53">
        <f>68333+45833</f>
        <v>114166</v>
      </c>
      <c r="G45" s="54"/>
      <c r="H45" s="53">
        <f>13667+9167</f>
        <v>22834</v>
      </c>
      <c r="I45" s="54"/>
      <c r="J45" s="54"/>
      <c r="K45" s="54"/>
      <c r="L45" s="76"/>
      <c r="M45" s="77"/>
      <c r="N45" s="242"/>
    </row>
    <row r="46" spans="1:14" s="21" customFormat="1" ht="35.25" customHeight="1">
      <c r="A46" s="95" t="s">
        <v>101</v>
      </c>
      <c r="B46" s="48" t="s">
        <v>102</v>
      </c>
      <c r="C46" s="166"/>
      <c r="D46" s="54">
        <f t="shared" si="17"/>
        <v>14880</v>
      </c>
      <c r="E46" s="54">
        <f t="shared" si="2"/>
        <v>14880</v>
      </c>
      <c r="F46" s="53">
        <f>10000+2400</f>
        <v>12400</v>
      </c>
      <c r="G46" s="54"/>
      <c r="H46" s="53">
        <f>2000+480</f>
        <v>2480</v>
      </c>
      <c r="I46" s="54"/>
      <c r="J46" s="54"/>
      <c r="K46" s="54"/>
      <c r="L46" s="76"/>
      <c r="M46" s="77"/>
      <c r="N46" s="242"/>
    </row>
    <row r="47" spans="1:14" s="21" customFormat="1" ht="35.25" customHeight="1">
      <c r="A47" s="95" t="s">
        <v>103</v>
      </c>
      <c r="B47" s="48" t="s">
        <v>104</v>
      </c>
      <c r="C47" s="166"/>
      <c r="D47" s="54">
        <f t="shared" si="17"/>
        <v>73000</v>
      </c>
      <c r="E47" s="54">
        <f t="shared" si="2"/>
        <v>73000</v>
      </c>
      <c r="F47" s="53">
        <f>58333+2500</f>
        <v>60833</v>
      </c>
      <c r="G47" s="54"/>
      <c r="H47" s="53">
        <f>11667+500</f>
        <v>12167</v>
      </c>
      <c r="I47" s="54"/>
      <c r="J47" s="54"/>
      <c r="K47" s="54"/>
      <c r="L47" s="76"/>
      <c r="M47" s="77"/>
      <c r="N47" s="242"/>
    </row>
    <row r="48" spans="1:14" s="21" customFormat="1" ht="35.25" customHeight="1">
      <c r="A48" s="95" t="s">
        <v>105</v>
      </c>
      <c r="B48" s="48" t="s">
        <v>106</v>
      </c>
      <c r="C48" s="166"/>
      <c r="D48" s="54">
        <f t="shared" si="17"/>
        <v>20000</v>
      </c>
      <c r="E48" s="54">
        <f t="shared" si="2"/>
        <v>20000</v>
      </c>
      <c r="F48" s="53">
        <f>43333-25600</f>
        <v>17733</v>
      </c>
      <c r="G48" s="54"/>
      <c r="H48" s="53">
        <f>8667-6400</f>
        <v>2267</v>
      </c>
      <c r="I48" s="54"/>
      <c r="J48" s="54"/>
      <c r="K48" s="54"/>
      <c r="L48" s="76"/>
      <c r="M48" s="77"/>
      <c r="N48" s="242"/>
    </row>
    <row r="49" spans="1:14" s="21" customFormat="1" ht="35.25" customHeight="1" thickBot="1">
      <c r="A49" s="96" t="s">
        <v>108</v>
      </c>
      <c r="B49" s="90" t="s">
        <v>107</v>
      </c>
      <c r="C49" s="168"/>
      <c r="D49" s="70">
        <f t="shared" si="17"/>
        <v>80466</v>
      </c>
      <c r="E49" s="54">
        <f t="shared" si="2"/>
        <v>80466</v>
      </c>
      <c r="F49" s="53">
        <f>85988-8960-9600</f>
        <v>67428</v>
      </c>
      <c r="G49" s="54"/>
      <c r="H49" s="53">
        <f>17198-2240-1920</f>
        <v>13038</v>
      </c>
      <c r="I49" s="70"/>
      <c r="J49" s="70"/>
      <c r="K49" s="70"/>
      <c r="L49" s="101"/>
      <c r="M49" s="101"/>
      <c r="N49" s="243"/>
    </row>
    <row r="50" spans="1:14" s="17" customFormat="1" ht="36.75" customHeight="1" thickBot="1">
      <c r="A50" s="15">
        <v>14</v>
      </c>
      <c r="B50" s="46" t="s">
        <v>26</v>
      </c>
      <c r="C50" s="169"/>
      <c r="D50" s="68">
        <f>SUM(D51:D54)</f>
        <v>2626100</v>
      </c>
      <c r="E50" s="68"/>
      <c r="F50" s="68">
        <f t="shared" ref="F50:M50" si="18">SUM(F51:F54)</f>
        <v>0</v>
      </c>
      <c r="G50" s="68">
        <f t="shared" si="18"/>
        <v>0</v>
      </c>
      <c r="H50" s="68">
        <f t="shared" si="18"/>
        <v>0</v>
      </c>
      <c r="I50" s="68">
        <f t="shared" si="18"/>
        <v>0</v>
      </c>
      <c r="J50" s="68">
        <f t="shared" si="18"/>
        <v>0</v>
      </c>
      <c r="K50" s="68">
        <f t="shared" si="18"/>
        <v>0</v>
      </c>
      <c r="L50" s="69">
        <f t="shared" si="18"/>
        <v>2626100</v>
      </c>
      <c r="M50" s="69">
        <f t="shared" si="18"/>
        <v>0</v>
      </c>
      <c r="N50" s="102" t="s">
        <v>35</v>
      </c>
    </row>
    <row r="51" spans="1:14" s="14" customFormat="1" ht="48" customHeight="1">
      <c r="A51" s="244" t="s">
        <v>25</v>
      </c>
      <c r="B51" s="29" t="s">
        <v>131</v>
      </c>
      <c r="C51" s="170"/>
      <c r="D51" s="85">
        <f>2000000+221400</f>
        <v>2221400</v>
      </c>
      <c r="E51" s="88"/>
      <c r="F51" s="78"/>
      <c r="G51" s="79"/>
      <c r="H51" s="79"/>
      <c r="I51" s="79"/>
      <c r="J51" s="79"/>
      <c r="K51" s="79"/>
      <c r="L51" s="79">
        <f>2000000+221400</f>
        <v>2221400</v>
      </c>
      <c r="M51" s="79"/>
      <c r="N51" s="238"/>
    </row>
    <row r="52" spans="1:14" s="14" customFormat="1" ht="48" customHeight="1" thickBot="1">
      <c r="A52" s="245"/>
      <c r="B52" s="51" t="s">
        <v>132</v>
      </c>
      <c r="C52" s="171"/>
      <c r="D52" s="53">
        <f>200000+54700+150000</f>
        <v>404700</v>
      </c>
      <c r="E52" s="152"/>
      <c r="F52" s="153"/>
      <c r="G52" s="154"/>
      <c r="H52" s="154"/>
      <c r="I52" s="154"/>
      <c r="J52" s="154"/>
      <c r="K52" s="154"/>
      <c r="L52" s="154">
        <f>200000+54700+150000</f>
        <v>404700</v>
      </c>
      <c r="M52" s="154"/>
      <c r="N52" s="239"/>
    </row>
    <row r="53" spans="1:14" s="14" customFormat="1" ht="48" hidden="1" customHeight="1">
      <c r="A53" s="93" t="s">
        <v>24</v>
      </c>
      <c r="B53" s="51" t="s">
        <v>119</v>
      </c>
      <c r="C53" s="172"/>
      <c r="D53" s="54"/>
      <c r="E53" s="58"/>
      <c r="F53" s="55"/>
      <c r="G53" s="80"/>
      <c r="H53" s="80"/>
      <c r="I53" s="80"/>
      <c r="J53" s="80"/>
      <c r="K53" s="80"/>
      <c r="L53" s="80"/>
      <c r="M53" s="81"/>
      <c r="N53" s="239"/>
    </row>
    <row r="54" spans="1:14" s="14" customFormat="1" ht="48" hidden="1" customHeight="1" thickBot="1">
      <c r="A54" s="16" t="s">
        <v>24</v>
      </c>
      <c r="B54" s="94" t="s">
        <v>122</v>
      </c>
      <c r="C54" s="173"/>
      <c r="D54" s="70">
        <f>600000-600000</f>
        <v>0</v>
      </c>
      <c r="E54" s="61"/>
      <c r="F54" s="60"/>
      <c r="G54" s="71"/>
      <c r="H54" s="71"/>
      <c r="I54" s="71"/>
      <c r="J54" s="71"/>
      <c r="K54" s="71"/>
      <c r="L54" s="71">
        <f>600000-600000</f>
        <v>0</v>
      </c>
      <c r="M54" s="71"/>
      <c r="N54" s="240"/>
    </row>
    <row r="55" spans="1:14" s="13" customFormat="1" ht="56.25" customHeight="1" thickBot="1">
      <c r="A55" s="236" t="s">
        <v>56</v>
      </c>
      <c r="B55" s="237"/>
      <c r="C55" s="174">
        <f t="shared" ref="C55:H55" si="19">C6+C23+C50+C20+C24</f>
        <v>1078613.68</v>
      </c>
      <c r="D55" s="72">
        <f t="shared" si="19"/>
        <v>31752076</v>
      </c>
      <c r="E55" s="72">
        <f t="shared" si="19"/>
        <v>29190591</v>
      </c>
      <c r="F55" s="72">
        <f t="shared" si="19"/>
        <v>14856512</v>
      </c>
      <c r="G55" s="72">
        <f t="shared" si="19"/>
        <v>1028953</v>
      </c>
      <c r="H55" s="72">
        <f t="shared" si="19"/>
        <v>2937604</v>
      </c>
      <c r="I55" s="72"/>
      <c r="J55" s="72">
        <f>J6+J23+J50+J20+J24</f>
        <v>7464262</v>
      </c>
      <c r="K55" s="72">
        <f>K6+K23+K50+K20+K24</f>
        <v>2903260</v>
      </c>
      <c r="L55" s="73">
        <f>L6+L23+L50+L20+L24</f>
        <v>2626100</v>
      </c>
      <c r="M55" s="73">
        <f>M6+M23+M50+M20+M24</f>
        <v>1143228</v>
      </c>
      <c r="N55" s="37"/>
    </row>
    <row r="56" spans="1:14" s="13" customFormat="1" ht="56.25" customHeight="1">
      <c r="A56" s="38"/>
      <c r="B56" s="52" t="s">
        <v>144</v>
      </c>
      <c r="C56" s="38"/>
      <c r="D56" s="38"/>
      <c r="E56" s="38"/>
      <c r="F56" s="38"/>
      <c r="G56" s="38"/>
      <c r="H56" s="38"/>
      <c r="I56" s="38"/>
      <c r="J56" s="38"/>
      <c r="K56" s="38"/>
      <c r="L56" s="43"/>
      <c r="M56" s="39"/>
      <c r="N56" s="40"/>
    </row>
  </sheetData>
  <mergeCells count="23">
    <mergeCell ref="N7:N8"/>
    <mergeCell ref="N9:N12"/>
    <mergeCell ref="N16:N17"/>
    <mergeCell ref="N21:N22"/>
    <mergeCell ref="A55:B55"/>
    <mergeCell ref="N51:N54"/>
    <mergeCell ref="N25:N26"/>
    <mergeCell ref="N27:N28"/>
    <mergeCell ref="N33:N34"/>
    <mergeCell ref="N40:N49"/>
    <mergeCell ref="A51:A52"/>
    <mergeCell ref="J1:N1"/>
    <mergeCell ref="A4:A5"/>
    <mergeCell ref="B4:B5"/>
    <mergeCell ref="C4:C5"/>
    <mergeCell ref="D4:D5"/>
    <mergeCell ref="E4:E5"/>
    <mergeCell ref="F4:K4"/>
    <mergeCell ref="M4:M5"/>
    <mergeCell ref="N4:N5"/>
    <mergeCell ref="L4:L5"/>
    <mergeCell ref="A3:N3"/>
    <mergeCell ref="J2:N2"/>
  </mergeCells>
  <printOptions horizontalCentered="1"/>
  <pageMargins left="0" right="0" top="0.39370078740157483" bottom="0" header="0" footer="0"/>
  <pageSetup paperSize="9" scale="36" orientation="landscape" cellComments="asDisplayed" verticalDpi="597" r:id="rId1"/>
  <rowBreaks count="1" manualBreakCount="1">
    <brk id="39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A3A04-791B-4D78-90C6-C9F2D8F394FE}">
  <dimension ref="A1:V30"/>
  <sheetViews>
    <sheetView topLeftCell="F1" zoomScale="51" zoomScaleNormal="51" zoomScaleSheetLayoutView="51" workbookViewId="0">
      <selection activeCell="P2" sqref="P2:V2"/>
    </sheetView>
  </sheetViews>
  <sheetFormatPr defaultRowHeight="15"/>
  <cols>
    <col min="1" max="1" width="20.7109375" style="246" customWidth="1"/>
    <col min="2" max="2" width="73.140625" style="247" customWidth="1"/>
    <col min="3" max="3" width="38" style="247" bestFit="1" customWidth="1"/>
    <col min="4" max="5" width="36.28515625" style="247" bestFit="1" customWidth="1"/>
    <col min="6" max="6" width="27.140625" style="247" bestFit="1" customWidth="1"/>
    <col min="7" max="7" width="26.28515625" style="247" bestFit="1" customWidth="1"/>
    <col min="8" max="8" width="27.140625" style="247" bestFit="1" customWidth="1"/>
    <col min="9" max="9" width="23.7109375" style="247" customWidth="1"/>
    <col min="10" max="10" width="27.140625" style="247" bestFit="1" customWidth="1"/>
    <col min="11" max="11" width="32.85546875" style="248" bestFit="1" customWidth="1"/>
    <col min="12" max="12" width="20.42578125" style="248" customWidth="1"/>
    <col min="13" max="13" width="22.7109375" style="249" customWidth="1"/>
    <col min="14" max="14" width="29.42578125" style="248" bestFit="1" customWidth="1"/>
    <col min="15" max="15" width="26.28515625" style="248" bestFit="1" customWidth="1"/>
    <col min="16" max="16" width="27.140625" style="251" bestFit="1" customWidth="1"/>
    <col min="17" max="17" width="26.140625" style="251" customWidth="1"/>
    <col min="18" max="18" width="30" style="247" customWidth="1"/>
    <col min="19" max="19" width="25.5703125" style="247" customWidth="1"/>
    <col min="20" max="20" width="28.42578125" style="247" bestFit="1" customWidth="1"/>
    <col min="21" max="21" width="32" style="247" hidden="1" customWidth="1"/>
    <col min="22" max="22" width="34.85546875" style="247" customWidth="1"/>
    <col min="23" max="16384" width="9.140625" style="247"/>
  </cols>
  <sheetData>
    <row r="1" spans="1:22" ht="26.25" customHeight="1">
      <c r="P1" s="250" t="s">
        <v>206</v>
      </c>
      <c r="Q1" s="250"/>
      <c r="R1" s="250"/>
      <c r="S1" s="250"/>
      <c r="T1" s="250"/>
      <c r="U1" s="250"/>
      <c r="V1" s="250"/>
    </row>
    <row r="2" spans="1:22" ht="26.25" customHeight="1">
      <c r="P2" s="250" t="s">
        <v>145</v>
      </c>
      <c r="Q2" s="250"/>
      <c r="R2" s="250"/>
      <c r="S2" s="250"/>
      <c r="T2" s="250"/>
      <c r="U2" s="250"/>
      <c r="V2" s="250"/>
    </row>
    <row r="3" spans="1:22" ht="114.75" customHeight="1" thickBot="1"/>
    <row r="4" spans="1:22" s="266" customFormat="1" ht="88.5" customHeight="1">
      <c r="A4" s="252" t="s">
        <v>146</v>
      </c>
      <c r="B4" s="253" t="s">
        <v>0</v>
      </c>
      <c r="C4" s="254" t="s">
        <v>147</v>
      </c>
      <c r="D4" s="254"/>
      <c r="E4" s="254"/>
      <c r="F4" s="255" t="s">
        <v>148</v>
      </c>
      <c r="G4" s="256" t="s">
        <v>17</v>
      </c>
      <c r="H4" s="257"/>
      <c r="I4" s="258" t="s">
        <v>149</v>
      </c>
      <c r="J4" s="255" t="s">
        <v>150</v>
      </c>
      <c r="K4" s="259" t="s">
        <v>17</v>
      </c>
      <c r="L4" s="259"/>
      <c r="M4" s="259"/>
      <c r="N4" s="259"/>
      <c r="O4" s="260"/>
      <c r="P4" s="261" t="s">
        <v>151</v>
      </c>
      <c r="Q4" s="262" t="s">
        <v>152</v>
      </c>
      <c r="R4" s="263" t="s">
        <v>153</v>
      </c>
      <c r="S4" s="263"/>
      <c r="T4" s="263"/>
      <c r="U4" s="264" t="s">
        <v>154</v>
      </c>
      <c r="V4" s="265" t="s">
        <v>1</v>
      </c>
    </row>
    <row r="5" spans="1:22" s="280" customFormat="1" ht="105.75" customHeight="1" thickBot="1">
      <c r="A5" s="267"/>
      <c r="B5" s="268"/>
      <c r="C5" s="269" t="s">
        <v>155</v>
      </c>
      <c r="D5" s="269" t="s">
        <v>156</v>
      </c>
      <c r="E5" s="269" t="s">
        <v>157</v>
      </c>
      <c r="F5" s="270"/>
      <c r="G5" s="271" t="s">
        <v>158</v>
      </c>
      <c r="H5" s="269" t="s">
        <v>159</v>
      </c>
      <c r="I5" s="272"/>
      <c r="J5" s="270"/>
      <c r="K5" s="273" t="s">
        <v>160</v>
      </c>
      <c r="L5" s="274" t="s">
        <v>161</v>
      </c>
      <c r="M5" s="275" t="s">
        <v>162</v>
      </c>
      <c r="N5" s="274" t="s">
        <v>163</v>
      </c>
      <c r="O5" s="274" t="s">
        <v>164</v>
      </c>
      <c r="P5" s="276"/>
      <c r="Q5" s="277"/>
      <c r="R5" s="269" t="s">
        <v>155</v>
      </c>
      <c r="S5" s="269" t="s">
        <v>156</v>
      </c>
      <c r="T5" s="269" t="s">
        <v>157</v>
      </c>
      <c r="U5" s="278"/>
      <c r="V5" s="279"/>
    </row>
    <row r="6" spans="1:22" s="283" customFormat="1" ht="60.75" thickBot="1">
      <c r="A6" s="370" t="s">
        <v>4</v>
      </c>
      <c r="B6" s="371" t="s">
        <v>165</v>
      </c>
      <c r="C6" s="372">
        <v>8552530.9499999993</v>
      </c>
      <c r="D6" s="372">
        <v>0</v>
      </c>
      <c r="E6" s="372">
        <v>0</v>
      </c>
      <c r="F6" s="373">
        <v>0</v>
      </c>
      <c r="G6" s="373">
        <v>0</v>
      </c>
      <c r="H6" s="373">
        <v>0</v>
      </c>
      <c r="I6" s="373"/>
      <c r="J6" s="373">
        <v>71094</v>
      </c>
      <c r="K6" s="373">
        <v>9000</v>
      </c>
      <c r="L6" s="373">
        <v>0</v>
      </c>
      <c r="M6" s="373">
        <v>0</v>
      </c>
      <c r="N6" s="373">
        <v>0</v>
      </c>
      <c r="O6" s="373">
        <v>62094</v>
      </c>
      <c r="P6" s="373"/>
      <c r="Q6" s="373">
        <v>0</v>
      </c>
      <c r="R6" s="374">
        <v>8481437</v>
      </c>
      <c r="S6" s="373">
        <v>0</v>
      </c>
      <c r="T6" s="373">
        <v>0</v>
      </c>
      <c r="U6" s="281">
        <f>SUM(U7:U8)</f>
        <v>0</v>
      </c>
      <c r="V6" s="282"/>
    </row>
    <row r="7" spans="1:22" s="266" customFormat="1" ht="54" customHeight="1" thickBot="1">
      <c r="A7" s="299" t="s">
        <v>166</v>
      </c>
      <c r="B7" s="285" t="s">
        <v>167</v>
      </c>
      <c r="C7" s="300">
        <v>8453247.9499999993</v>
      </c>
      <c r="D7" s="300"/>
      <c r="E7" s="300"/>
      <c r="F7" s="293">
        <v>0</v>
      </c>
      <c r="G7" s="292"/>
      <c r="H7" s="292"/>
      <c r="I7" s="292"/>
      <c r="J7" s="293">
        <v>0</v>
      </c>
      <c r="K7" s="297"/>
      <c r="L7" s="297"/>
      <c r="M7" s="295"/>
      <c r="N7" s="294"/>
      <c r="O7" s="294"/>
      <c r="P7" s="294"/>
      <c r="Q7" s="294"/>
      <c r="R7" s="291">
        <v>8453248</v>
      </c>
      <c r="S7" s="292"/>
      <c r="T7" s="292"/>
      <c r="U7" s="298"/>
      <c r="V7" s="301" t="s">
        <v>168</v>
      </c>
    </row>
    <row r="8" spans="1:22" s="266" customFormat="1" ht="54" customHeight="1" thickBot="1">
      <c r="A8" s="299" t="s">
        <v>169</v>
      </c>
      <c r="B8" s="285" t="s">
        <v>170</v>
      </c>
      <c r="C8" s="300">
        <v>99283</v>
      </c>
      <c r="D8" s="300"/>
      <c r="E8" s="300"/>
      <c r="F8" s="293">
        <v>0</v>
      </c>
      <c r="G8" s="292"/>
      <c r="H8" s="292"/>
      <c r="I8" s="292"/>
      <c r="J8" s="293">
        <v>71094</v>
      </c>
      <c r="K8" s="297">
        <v>9000</v>
      </c>
      <c r="L8" s="297"/>
      <c r="M8" s="295"/>
      <c r="N8" s="294"/>
      <c r="O8" s="294">
        <v>62094</v>
      </c>
      <c r="P8" s="294"/>
      <c r="Q8" s="294"/>
      <c r="R8" s="291">
        <v>28189</v>
      </c>
      <c r="S8" s="292"/>
      <c r="T8" s="292"/>
      <c r="U8" s="298"/>
      <c r="V8" s="301" t="s">
        <v>34</v>
      </c>
    </row>
    <row r="9" spans="1:22" s="304" customFormat="1" ht="60.75" thickBot="1">
      <c r="A9" s="375" t="s">
        <v>5</v>
      </c>
      <c r="B9" s="376" t="s">
        <v>171</v>
      </c>
      <c r="C9" s="377">
        <v>0</v>
      </c>
      <c r="D9" s="377">
        <v>148042.47</v>
      </c>
      <c r="E9" s="377">
        <v>3569.13</v>
      </c>
      <c r="F9" s="378">
        <v>276882</v>
      </c>
      <c r="G9" s="378">
        <v>276882</v>
      </c>
      <c r="H9" s="378"/>
      <c r="I9" s="378"/>
      <c r="J9" s="378">
        <v>542286</v>
      </c>
      <c r="K9" s="378"/>
      <c r="L9" s="378"/>
      <c r="M9" s="378"/>
      <c r="N9" s="378">
        <v>542286</v>
      </c>
      <c r="O9" s="378"/>
      <c r="P9" s="378"/>
      <c r="Q9" s="378"/>
      <c r="R9" s="379">
        <v>-125930</v>
      </c>
      <c r="S9" s="378">
        <v>5000</v>
      </c>
      <c r="T9" s="378"/>
      <c r="U9" s="302">
        <f>U10+U11</f>
        <v>279952</v>
      </c>
      <c r="V9" s="303"/>
    </row>
    <row r="10" spans="1:22" s="266" customFormat="1" ht="45.75" customHeight="1">
      <c r="A10" s="305" t="s">
        <v>172</v>
      </c>
      <c r="B10" s="306" t="s">
        <v>173</v>
      </c>
      <c r="C10" s="307"/>
      <c r="D10" s="307">
        <v>144505.71</v>
      </c>
      <c r="E10" s="307"/>
      <c r="F10" s="287">
        <v>148882</v>
      </c>
      <c r="G10" s="288">
        <v>148882</v>
      </c>
      <c r="H10" s="288"/>
      <c r="I10" s="288"/>
      <c r="J10" s="287">
        <v>396286</v>
      </c>
      <c r="K10" s="308"/>
      <c r="L10" s="308"/>
      <c r="M10" s="309"/>
      <c r="N10" s="310">
        <v>396286</v>
      </c>
      <c r="O10" s="308"/>
      <c r="P10" s="311"/>
      <c r="Q10" s="311"/>
      <c r="R10" s="312">
        <v>-102898</v>
      </c>
      <c r="S10" s="288"/>
      <c r="T10" s="288"/>
      <c r="U10" s="313">
        <v>256920</v>
      </c>
      <c r="V10" s="314" t="s">
        <v>174</v>
      </c>
    </row>
    <row r="11" spans="1:22" s="266" customFormat="1" ht="60.75" thickBot="1">
      <c r="A11" s="315" t="s">
        <v>175</v>
      </c>
      <c r="B11" s="316" t="s">
        <v>176</v>
      </c>
      <c r="C11" s="317"/>
      <c r="D11" s="317">
        <v>3536.76</v>
      </c>
      <c r="E11" s="317">
        <v>3569.13</v>
      </c>
      <c r="F11" s="318">
        <v>128000</v>
      </c>
      <c r="G11" s="319">
        <v>128000</v>
      </c>
      <c r="H11" s="320"/>
      <c r="I11" s="320"/>
      <c r="J11" s="321">
        <v>146000</v>
      </c>
      <c r="K11" s="322"/>
      <c r="L11" s="322"/>
      <c r="M11" s="323"/>
      <c r="N11" s="324">
        <v>146000</v>
      </c>
      <c r="O11" s="322"/>
      <c r="P11" s="325"/>
      <c r="Q11" s="325"/>
      <c r="R11" s="312">
        <v>-23032</v>
      </c>
      <c r="S11" s="319">
        <v>5000</v>
      </c>
      <c r="T11" s="319"/>
      <c r="U11" s="326">
        <f>-R11</f>
        <v>23032</v>
      </c>
      <c r="V11" s="327"/>
    </row>
    <row r="12" spans="1:22" s="283" customFormat="1" ht="60.75" thickBot="1">
      <c r="A12" s="375" t="s">
        <v>6</v>
      </c>
      <c r="B12" s="376" t="s">
        <v>177</v>
      </c>
      <c r="C12" s="377">
        <v>5629818.1299999999</v>
      </c>
      <c r="D12" s="377">
        <v>1229219.67</v>
      </c>
      <c r="E12" s="377">
        <v>66831.83</v>
      </c>
      <c r="F12" s="378">
        <v>5607037</v>
      </c>
      <c r="G12" s="378">
        <v>5594712</v>
      </c>
      <c r="H12" s="378">
        <v>12325</v>
      </c>
      <c r="I12" s="378"/>
      <c r="J12" s="378">
        <v>5085628</v>
      </c>
      <c r="K12" s="378">
        <v>563600</v>
      </c>
      <c r="L12" s="378">
        <v>135000</v>
      </c>
      <c r="M12" s="378">
        <v>570538</v>
      </c>
      <c r="N12" s="378">
        <v>3243490</v>
      </c>
      <c r="O12" s="378">
        <v>573000</v>
      </c>
      <c r="P12" s="378">
        <v>0</v>
      </c>
      <c r="Q12" s="378"/>
      <c r="R12" s="380">
        <v>6457549</v>
      </c>
      <c r="S12" s="378">
        <v>1550000</v>
      </c>
      <c r="T12" s="378">
        <v>97000</v>
      </c>
      <c r="U12" s="302">
        <f>U13+U14+U15</f>
        <v>0</v>
      </c>
      <c r="V12" s="303"/>
    </row>
    <row r="13" spans="1:22" s="266" customFormat="1" ht="60">
      <c r="A13" s="305" t="s">
        <v>178</v>
      </c>
      <c r="B13" s="328" t="s">
        <v>179</v>
      </c>
      <c r="C13" s="307">
        <v>273956.58</v>
      </c>
      <c r="D13" s="329">
        <v>3370.2</v>
      </c>
      <c r="E13" s="307">
        <v>3558.68</v>
      </c>
      <c r="F13" s="287">
        <v>243000</v>
      </c>
      <c r="G13" s="288">
        <v>243000</v>
      </c>
      <c r="H13" s="288"/>
      <c r="I13" s="288"/>
      <c r="J13" s="287">
        <v>358000</v>
      </c>
      <c r="K13" s="289">
        <v>82000</v>
      </c>
      <c r="L13" s="289">
        <v>14000</v>
      </c>
      <c r="M13" s="290"/>
      <c r="N13" s="289">
        <v>262000</v>
      </c>
      <c r="O13" s="289"/>
      <c r="P13" s="289"/>
      <c r="Q13" s="289"/>
      <c r="R13" s="330">
        <v>158768</v>
      </c>
      <c r="S13" s="288"/>
      <c r="T13" s="288"/>
      <c r="U13" s="313"/>
      <c r="V13" s="331" t="s">
        <v>2</v>
      </c>
    </row>
    <row r="14" spans="1:22" s="266" customFormat="1" ht="46.5" customHeight="1">
      <c r="A14" s="284" t="s">
        <v>180</v>
      </c>
      <c r="B14" s="285" t="s">
        <v>181</v>
      </c>
      <c r="C14" s="300">
        <v>599252.16</v>
      </c>
      <c r="D14" s="300">
        <v>2395.54</v>
      </c>
      <c r="E14" s="300">
        <v>47.96</v>
      </c>
      <c r="F14" s="293">
        <v>535000</v>
      </c>
      <c r="G14" s="292">
        <v>535000</v>
      </c>
      <c r="H14" s="292"/>
      <c r="I14" s="292"/>
      <c r="J14" s="293">
        <v>564000</v>
      </c>
      <c r="K14" s="294">
        <v>2500</v>
      </c>
      <c r="L14" s="294">
        <v>500</v>
      </c>
      <c r="M14" s="295">
        <v>23000</v>
      </c>
      <c r="N14" s="294">
        <v>465000</v>
      </c>
      <c r="O14" s="294">
        <v>73000</v>
      </c>
      <c r="P14" s="294"/>
      <c r="Q14" s="294"/>
      <c r="R14" s="330">
        <v>594600</v>
      </c>
      <c r="S14" s="292"/>
      <c r="T14" s="292">
        <v>22000</v>
      </c>
      <c r="U14" s="296"/>
      <c r="V14" s="332" t="s">
        <v>182</v>
      </c>
    </row>
    <row r="15" spans="1:22" s="266" customFormat="1" ht="125.25" customHeight="1" thickBot="1">
      <c r="A15" s="381" t="s">
        <v>183</v>
      </c>
      <c r="B15" s="382" t="s">
        <v>184</v>
      </c>
      <c r="C15" s="383">
        <v>4756609.3899999997</v>
      </c>
      <c r="D15" s="383">
        <v>1223453.93</v>
      </c>
      <c r="E15" s="383">
        <v>63225.189999999995</v>
      </c>
      <c r="F15" s="384">
        <v>4829037</v>
      </c>
      <c r="G15" s="385">
        <v>4816712</v>
      </c>
      <c r="H15" s="385">
        <v>12325</v>
      </c>
      <c r="I15" s="385"/>
      <c r="J15" s="384">
        <v>4163628</v>
      </c>
      <c r="K15" s="386">
        <v>479100</v>
      </c>
      <c r="L15" s="386">
        <v>120500</v>
      </c>
      <c r="M15" s="387">
        <v>547538</v>
      </c>
      <c r="N15" s="386">
        <v>2516490</v>
      </c>
      <c r="O15" s="386">
        <v>500000</v>
      </c>
      <c r="P15" s="386">
        <v>0</v>
      </c>
      <c r="Q15" s="386">
        <v>0</v>
      </c>
      <c r="R15" s="388">
        <v>5704181</v>
      </c>
      <c r="S15" s="385">
        <v>1550000</v>
      </c>
      <c r="T15" s="385">
        <v>75000</v>
      </c>
      <c r="U15" s="313"/>
      <c r="V15" s="333" t="s">
        <v>185</v>
      </c>
    </row>
    <row r="16" spans="1:22" s="283" customFormat="1" ht="92.25" thickBot="1">
      <c r="A16" s="375" t="s">
        <v>7</v>
      </c>
      <c r="B16" s="376" t="s">
        <v>186</v>
      </c>
      <c r="C16" s="377">
        <v>21163603.289999999</v>
      </c>
      <c r="D16" s="377">
        <v>743992.1399999999</v>
      </c>
      <c r="E16" s="377">
        <v>1784150</v>
      </c>
      <c r="F16" s="378">
        <v>14000000</v>
      </c>
      <c r="G16" s="389"/>
      <c r="H16" s="389">
        <v>14000000</v>
      </c>
      <c r="I16" s="389"/>
      <c r="J16" s="378">
        <v>5120000</v>
      </c>
      <c r="K16" s="390"/>
      <c r="L16" s="390"/>
      <c r="M16" s="391"/>
      <c r="N16" s="392">
        <v>4470000</v>
      </c>
      <c r="O16" s="392">
        <v>650000</v>
      </c>
      <c r="P16" s="378">
        <v>8248000</v>
      </c>
      <c r="Q16" s="378">
        <v>4670000</v>
      </c>
      <c r="R16" s="378">
        <v>16427445</v>
      </c>
      <c r="S16" s="378"/>
      <c r="T16" s="378"/>
      <c r="U16" s="302" t="e">
        <f>-U11-U15-U17-U7-U23</f>
        <v>#REF!</v>
      </c>
      <c r="V16" s="336" t="s">
        <v>174</v>
      </c>
    </row>
    <row r="17" spans="1:22" s="283" customFormat="1" ht="56.25" customHeight="1" thickBot="1">
      <c r="A17" s="393" t="s">
        <v>8</v>
      </c>
      <c r="B17" s="394" t="s">
        <v>187</v>
      </c>
      <c r="C17" s="395">
        <v>4073141.5999999996</v>
      </c>
      <c r="D17" s="395">
        <v>219959.21</v>
      </c>
      <c r="E17" s="395">
        <v>2399332.8600000003</v>
      </c>
      <c r="F17" s="396">
        <v>1521300</v>
      </c>
      <c r="G17" s="396">
        <v>1096300</v>
      </c>
      <c r="H17" s="396">
        <v>425000</v>
      </c>
      <c r="I17" s="396"/>
      <c r="J17" s="396">
        <v>7274281</v>
      </c>
      <c r="K17" s="396">
        <v>447381</v>
      </c>
      <c r="L17" s="396">
        <v>34000</v>
      </c>
      <c r="M17" s="396">
        <v>0</v>
      </c>
      <c r="N17" s="396">
        <v>415900</v>
      </c>
      <c r="O17" s="396">
        <v>6377000</v>
      </c>
      <c r="P17" s="396"/>
      <c r="Q17" s="396">
        <v>0</v>
      </c>
      <c r="R17" s="397">
        <v>2286523</v>
      </c>
      <c r="S17" s="396">
        <v>0</v>
      </c>
      <c r="T17" s="396">
        <v>1350000</v>
      </c>
      <c r="U17" s="339" t="e">
        <f>U21</f>
        <v>#REF!</v>
      </c>
      <c r="V17" s="340"/>
    </row>
    <row r="18" spans="1:22" s="346" customFormat="1" ht="60" hidden="1">
      <c r="A18" s="341" t="s">
        <v>188</v>
      </c>
      <c r="B18" s="328" t="s">
        <v>189</v>
      </c>
      <c r="C18" s="286">
        <v>0</v>
      </c>
      <c r="D18" s="286"/>
      <c r="E18" s="286"/>
      <c r="F18" s="342"/>
      <c r="G18" s="343"/>
      <c r="H18" s="343"/>
      <c r="I18" s="343"/>
      <c r="J18" s="342"/>
      <c r="K18" s="337"/>
      <c r="L18" s="337"/>
      <c r="M18" s="338"/>
      <c r="N18" s="311"/>
      <c r="O18" s="337"/>
      <c r="P18" s="311"/>
      <c r="Q18" s="311"/>
      <c r="R18" s="291">
        <v>0</v>
      </c>
      <c r="S18" s="344"/>
      <c r="T18" s="344"/>
      <c r="U18" s="313">
        <v>0</v>
      </c>
      <c r="V18" s="345" t="s">
        <v>174</v>
      </c>
    </row>
    <row r="19" spans="1:22" s="346" customFormat="1" ht="129" customHeight="1">
      <c r="A19" s="347" t="s">
        <v>190</v>
      </c>
      <c r="B19" s="348" t="s">
        <v>191</v>
      </c>
      <c r="C19" s="300">
        <v>57885.179999999993</v>
      </c>
      <c r="D19" s="300"/>
      <c r="E19" s="300"/>
      <c r="F19" s="293">
        <v>47300</v>
      </c>
      <c r="G19" s="292">
        <v>32300</v>
      </c>
      <c r="H19" s="292">
        <v>15000</v>
      </c>
      <c r="I19" s="292"/>
      <c r="J19" s="293">
        <v>93281</v>
      </c>
      <c r="K19" s="334">
        <v>61381</v>
      </c>
      <c r="L19" s="334">
        <v>0</v>
      </c>
      <c r="M19" s="335">
        <v>0</v>
      </c>
      <c r="N19" s="294">
        <v>6900</v>
      </c>
      <c r="O19" s="294">
        <v>25000</v>
      </c>
      <c r="P19" s="349"/>
      <c r="Q19" s="349"/>
      <c r="R19" s="350">
        <v>11904</v>
      </c>
      <c r="S19" s="292"/>
      <c r="T19" s="292"/>
      <c r="U19" s="296"/>
      <c r="V19" s="351" t="s">
        <v>192</v>
      </c>
    </row>
    <row r="20" spans="1:22" s="346" customFormat="1" ht="87" customHeight="1">
      <c r="A20" s="284" t="s">
        <v>193</v>
      </c>
      <c r="B20" s="348" t="s">
        <v>194</v>
      </c>
      <c r="C20" s="300">
        <v>823316.04</v>
      </c>
      <c r="D20" s="300"/>
      <c r="E20" s="300">
        <v>6166.72</v>
      </c>
      <c r="F20" s="293">
        <v>374000</v>
      </c>
      <c r="G20" s="292">
        <v>364000</v>
      </c>
      <c r="H20" s="292">
        <v>10000</v>
      </c>
      <c r="I20" s="292"/>
      <c r="J20" s="349">
        <v>627000</v>
      </c>
      <c r="K20" s="294">
        <v>326000</v>
      </c>
      <c r="L20" s="294">
        <v>22000</v>
      </c>
      <c r="M20" s="295"/>
      <c r="N20" s="294">
        <v>249000</v>
      </c>
      <c r="O20" s="294">
        <v>30000</v>
      </c>
      <c r="P20" s="294"/>
      <c r="Q20" s="294"/>
      <c r="R20" s="330">
        <v>564149</v>
      </c>
      <c r="S20" s="292"/>
      <c r="T20" s="292"/>
      <c r="U20" s="296"/>
      <c r="V20" s="333" t="s">
        <v>36</v>
      </c>
    </row>
    <row r="21" spans="1:22" s="346" customFormat="1" ht="158.25" customHeight="1" thickBot="1">
      <c r="A21" s="347" t="s">
        <v>195</v>
      </c>
      <c r="B21" s="348" t="s">
        <v>196</v>
      </c>
      <c r="C21" s="300">
        <v>3191940.38</v>
      </c>
      <c r="D21" s="300">
        <v>219959.21</v>
      </c>
      <c r="E21" s="300">
        <v>2393166.14</v>
      </c>
      <c r="F21" s="293">
        <v>1100000</v>
      </c>
      <c r="G21" s="292">
        <v>700000</v>
      </c>
      <c r="H21" s="292">
        <v>400000</v>
      </c>
      <c r="I21" s="292"/>
      <c r="J21" s="293">
        <v>6554000</v>
      </c>
      <c r="K21" s="294">
        <v>60000</v>
      </c>
      <c r="L21" s="294">
        <v>12000</v>
      </c>
      <c r="M21" s="295">
        <v>0</v>
      </c>
      <c r="N21" s="294">
        <v>160000</v>
      </c>
      <c r="O21" s="294">
        <v>6322000</v>
      </c>
      <c r="P21" s="294"/>
      <c r="Q21" s="294">
        <v>0</v>
      </c>
      <c r="R21" s="330">
        <v>1710470</v>
      </c>
      <c r="S21" s="292">
        <v>0</v>
      </c>
      <c r="T21" s="292">
        <v>1350000</v>
      </c>
      <c r="U21" s="296" t="e">
        <f>SUM(#REF!)</f>
        <v>#REF!</v>
      </c>
      <c r="V21" s="333" t="s">
        <v>174</v>
      </c>
    </row>
    <row r="22" spans="1:22" s="346" customFormat="1" ht="81.75" customHeight="1" thickBot="1">
      <c r="A22" s="398" t="s">
        <v>9</v>
      </c>
      <c r="B22" s="376" t="s">
        <v>197</v>
      </c>
      <c r="C22" s="377"/>
      <c r="D22" s="377"/>
      <c r="E22" s="377"/>
      <c r="F22" s="378">
        <v>0</v>
      </c>
      <c r="G22" s="389"/>
      <c r="H22" s="389"/>
      <c r="I22" s="378">
        <v>436080</v>
      </c>
      <c r="J22" s="378">
        <v>0</v>
      </c>
      <c r="K22" s="392"/>
      <c r="L22" s="392"/>
      <c r="M22" s="399"/>
      <c r="N22" s="392"/>
      <c r="O22" s="392"/>
      <c r="P22" s="389"/>
      <c r="Q22" s="389">
        <v>436080</v>
      </c>
      <c r="R22" s="400">
        <v>0</v>
      </c>
      <c r="S22" s="378"/>
      <c r="T22" s="378"/>
      <c r="U22" s="352"/>
      <c r="V22" s="353" t="s">
        <v>174</v>
      </c>
    </row>
    <row r="23" spans="1:22" s="346" customFormat="1" ht="99.75" customHeight="1" thickBot="1">
      <c r="A23" s="401" t="s">
        <v>11</v>
      </c>
      <c r="B23" s="376" t="s">
        <v>198</v>
      </c>
      <c r="C23" s="377"/>
      <c r="D23" s="377"/>
      <c r="E23" s="377"/>
      <c r="F23" s="378">
        <v>0</v>
      </c>
      <c r="G23" s="389"/>
      <c r="H23" s="389"/>
      <c r="I23" s="389"/>
      <c r="J23" s="378">
        <v>0</v>
      </c>
      <c r="K23" s="392"/>
      <c r="L23" s="392"/>
      <c r="M23" s="399"/>
      <c r="N23" s="389"/>
      <c r="O23" s="392"/>
      <c r="P23" s="389"/>
      <c r="Q23" s="389">
        <v>300000</v>
      </c>
      <c r="R23" s="400">
        <v>-300000</v>
      </c>
      <c r="S23" s="378"/>
      <c r="T23" s="378"/>
      <c r="U23" s="352">
        <f>-R23</f>
        <v>300000</v>
      </c>
      <c r="V23" s="353" t="s">
        <v>174</v>
      </c>
    </row>
    <row r="24" spans="1:22" s="346" customFormat="1" ht="80.45" customHeight="1" thickBot="1">
      <c r="A24" s="398" t="s">
        <v>199</v>
      </c>
      <c r="B24" s="376" t="s">
        <v>200</v>
      </c>
      <c r="C24" s="377">
        <v>347764.64</v>
      </c>
      <c r="D24" s="377">
        <v>12794.67</v>
      </c>
      <c r="E24" s="377"/>
      <c r="F24" s="378">
        <v>0</v>
      </c>
      <c r="G24" s="389"/>
      <c r="H24" s="389"/>
      <c r="I24" s="389"/>
      <c r="J24" s="378">
        <v>0</v>
      </c>
      <c r="K24" s="392"/>
      <c r="L24" s="392"/>
      <c r="M24" s="399"/>
      <c r="N24" s="392"/>
      <c r="O24" s="392"/>
      <c r="P24" s="389"/>
      <c r="Q24" s="389"/>
      <c r="R24" s="402">
        <v>260559</v>
      </c>
      <c r="S24" s="389">
        <v>100000</v>
      </c>
      <c r="T24" s="378"/>
      <c r="U24" s="352" t="e">
        <f>-U10-#REF!</f>
        <v>#REF!</v>
      </c>
      <c r="V24" s="354" t="s">
        <v>174</v>
      </c>
    </row>
    <row r="25" spans="1:22" s="346" customFormat="1" ht="210.75" thickBot="1">
      <c r="A25" s="398" t="s">
        <v>201</v>
      </c>
      <c r="B25" s="376" t="s">
        <v>202</v>
      </c>
      <c r="C25" s="377">
        <v>1112277.69</v>
      </c>
      <c r="D25" s="377">
        <v>1101397</v>
      </c>
      <c r="E25" s="377"/>
      <c r="F25" s="378">
        <v>0</v>
      </c>
      <c r="G25" s="389"/>
      <c r="H25" s="389"/>
      <c r="I25" s="389"/>
      <c r="J25" s="378">
        <v>0</v>
      </c>
      <c r="K25" s="392"/>
      <c r="L25" s="392"/>
      <c r="M25" s="399"/>
      <c r="N25" s="392"/>
      <c r="O25" s="392"/>
      <c r="P25" s="389"/>
      <c r="Q25" s="389"/>
      <c r="R25" s="402">
        <v>373675</v>
      </c>
      <c r="S25" s="389">
        <v>1840000</v>
      </c>
      <c r="T25" s="378"/>
      <c r="U25" s="352"/>
      <c r="V25" s="354" t="s">
        <v>174</v>
      </c>
    </row>
    <row r="26" spans="1:22" s="346" customFormat="1" ht="98.25" customHeight="1" thickBot="1">
      <c r="A26" s="398" t="s">
        <v>203</v>
      </c>
      <c r="B26" s="376" t="s">
        <v>204</v>
      </c>
      <c r="C26" s="377">
        <v>842000</v>
      </c>
      <c r="D26" s="377">
        <v>1531256.16</v>
      </c>
      <c r="E26" s="377"/>
      <c r="F26" s="378">
        <v>0</v>
      </c>
      <c r="G26" s="389"/>
      <c r="H26" s="389"/>
      <c r="I26" s="389"/>
      <c r="J26" s="378">
        <v>0</v>
      </c>
      <c r="K26" s="392"/>
      <c r="L26" s="392"/>
      <c r="M26" s="399"/>
      <c r="N26" s="392"/>
      <c r="O26" s="392"/>
      <c r="P26" s="389"/>
      <c r="Q26" s="389">
        <v>842000</v>
      </c>
      <c r="R26" s="402">
        <v>806256</v>
      </c>
      <c r="S26" s="389">
        <v>725000</v>
      </c>
      <c r="T26" s="378"/>
      <c r="U26" s="352"/>
      <c r="V26" s="354" t="s">
        <v>174</v>
      </c>
    </row>
    <row r="27" spans="1:22" s="361" customFormat="1" ht="76.7" customHeight="1" thickBot="1">
      <c r="A27" s="355"/>
      <c r="B27" s="356" t="s">
        <v>129</v>
      </c>
      <c r="C27" s="357">
        <v>41721136.299999997</v>
      </c>
      <c r="D27" s="357">
        <v>4986661.3199999994</v>
      </c>
      <c r="E27" s="357">
        <v>4253883.82</v>
      </c>
      <c r="F27" s="358">
        <v>21405219</v>
      </c>
      <c r="G27" s="358">
        <v>6967894</v>
      </c>
      <c r="H27" s="358">
        <v>14437325</v>
      </c>
      <c r="I27" s="358">
        <v>436080</v>
      </c>
      <c r="J27" s="358">
        <v>18093289</v>
      </c>
      <c r="K27" s="358">
        <v>1019981</v>
      </c>
      <c r="L27" s="358">
        <v>169000</v>
      </c>
      <c r="M27" s="358">
        <v>570538</v>
      </c>
      <c r="N27" s="358">
        <v>8671676</v>
      </c>
      <c r="O27" s="358">
        <v>7662094</v>
      </c>
      <c r="P27" s="358">
        <v>8248000</v>
      </c>
      <c r="Q27" s="358">
        <v>6248080</v>
      </c>
      <c r="R27" s="359">
        <v>34667514</v>
      </c>
      <c r="S27" s="358">
        <v>4220000</v>
      </c>
      <c r="T27" s="358">
        <v>1447000</v>
      </c>
      <c r="U27" s="360" t="e">
        <f>U6+U9+U12+U16+U17+U22+#REF!+U24+U25+U23</f>
        <v>#REF!</v>
      </c>
      <c r="V27" s="303"/>
    </row>
    <row r="28" spans="1:22" s="361" customFormat="1" ht="66" customHeight="1">
      <c r="A28" s="362"/>
      <c r="B28" s="363"/>
      <c r="C28" s="364"/>
      <c r="D28" s="364"/>
      <c r="E28" s="364"/>
      <c r="F28" s="365"/>
      <c r="G28" s="365"/>
      <c r="H28" s="365"/>
      <c r="I28" s="365"/>
      <c r="J28" s="365"/>
      <c r="K28" s="365"/>
      <c r="L28" s="365"/>
      <c r="M28" s="365"/>
      <c r="N28" s="365"/>
      <c r="O28" s="365"/>
      <c r="P28" s="365"/>
      <c r="Q28" s="365"/>
      <c r="R28" s="366"/>
      <c r="S28" s="365"/>
      <c r="T28" s="365"/>
      <c r="U28" s="367"/>
      <c r="V28" s="368"/>
    </row>
    <row r="29" spans="1:22" s="361" customFormat="1" ht="29.25" customHeight="1">
      <c r="A29" s="369" t="s">
        <v>205</v>
      </c>
      <c r="B29" s="369"/>
      <c r="C29" s="364"/>
      <c r="D29" s="364"/>
      <c r="E29" s="364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6"/>
      <c r="S29" s="365"/>
      <c r="T29" s="365"/>
      <c r="U29" s="367"/>
      <c r="V29" s="368"/>
    </row>
    <row r="30" spans="1:22" s="361" customFormat="1" ht="29.25" customHeight="1">
      <c r="A30" s="362"/>
      <c r="B30" s="363"/>
      <c r="C30" s="364"/>
      <c r="D30" s="364"/>
      <c r="E30" s="364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6"/>
      <c r="S30" s="365"/>
      <c r="T30" s="365"/>
      <c r="U30" s="367"/>
      <c r="V30" s="368"/>
    </row>
  </sheetData>
  <mergeCells count="17">
    <mergeCell ref="V10:V11"/>
    <mergeCell ref="A29:B29"/>
    <mergeCell ref="P4:P5"/>
    <mergeCell ref="Q4:Q5"/>
    <mergeCell ref="R4:T4"/>
    <mergeCell ref="U4:U5"/>
    <mergeCell ref="V4:V5"/>
    <mergeCell ref="P1:V1"/>
    <mergeCell ref="P2:V2"/>
    <mergeCell ref="A4:A5"/>
    <mergeCell ref="B4:B5"/>
    <mergeCell ref="C4:E4"/>
    <mergeCell ref="F4:F5"/>
    <mergeCell ref="G4:H4"/>
    <mergeCell ref="I4:I5"/>
    <mergeCell ref="J4:J5"/>
    <mergeCell ref="K4:O4"/>
  </mergeCells>
  <printOptions horizontalCentered="1"/>
  <pageMargins left="0" right="0" top="0.70866141732283472" bottom="0.74803149606299213" header="0.51181102362204722" footer="0.31496062992125984"/>
  <pageSetup paperSize="9" scale="21" orientation="landscape" verticalDpi="597" r:id="rId1"/>
  <headerFooter>
    <oddHeader>&amp;L &amp;C&amp;36
PLAN FINANSOWY DZIAŁALNOŚCI POZABUDŻETOWEJ AKADEMII - REALIZOWANY CENTRALNIE (w zł)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Załączniki Nr 3</vt:lpstr>
      <vt:lpstr>'Załącznik Nr 1'!Obszar_wydruku</vt:lpstr>
      <vt:lpstr>'Załącznik Nr 2'!Obszar_wydruku</vt:lpstr>
      <vt:lpstr>'Załączniki Nr 3'!Obszar_wydruku</vt:lpstr>
      <vt:lpstr>'Załącznik Nr 1'!Tytuły_wydruku</vt:lpstr>
      <vt:lpstr>'Załącznik Nr 2'!Tytuły_wydruku</vt:lpstr>
      <vt:lpstr>'Załączniki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2021-10-29T11:16:52Z</cp:lastPrinted>
  <dcterms:created xsi:type="dcterms:W3CDTF">2004-03-15T09:27:32Z</dcterms:created>
  <dcterms:modified xsi:type="dcterms:W3CDTF">2021-11-04T15:34:56Z</dcterms:modified>
</cp:coreProperties>
</file>